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uman Resources Office\Staci\Website Cascade\"/>
    </mc:Choice>
  </mc:AlternateContent>
  <xr:revisionPtr revIDLastSave="0" documentId="8_{857AF1F9-0093-4629-AC7E-2DEF5DEE1451}" xr6:coauthVersionLast="47" xr6:coauthVersionMax="47" xr10:uidLastSave="{00000000-0000-0000-0000-000000000000}"/>
  <bookViews>
    <workbookView xWindow="-110" yWindow="-110" windowWidth="19420" windowHeight="11620" tabRatio="423" xr2:uid="{00000000-000D-0000-FFFF-FFFF00000000}"/>
  </bookViews>
  <sheets>
    <sheet name="FED" sheetId="10" r:id="rId1"/>
    <sheet name="tables" sheetId="12" r:id="rId2"/>
    <sheet name="netpay" sheetId="13" r:id="rId3"/>
  </sheets>
  <definedNames>
    <definedName name="hn" comment="head of household table, no checkmark">tables!$B$28:$F$35</definedName>
    <definedName name="hy" comment="head of household, with checkmark">tables!$B$63:$F$70</definedName>
    <definedName name="mn" comment="married filing jointly table, no checkmark">tables!$B$8:$F$15</definedName>
    <definedName name="my" comment="married filed jointly, with checkmark">tables!$B$43:$F$50</definedName>
    <definedName name="sn" comment="single or married filing separately table, no checkmark">tables!$B$18:$F$25</definedName>
    <definedName name="sy" comment="single or married filing separately, with checkmark">tables!$B$53:$F$60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2" l="1"/>
  <c r="J8" i="12"/>
  <c r="K8" i="12"/>
  <c r="I7" i="12" l="1"/>
  <c r="J7" i="12"/>
  <c r="K7" i="12"/>
  <c r="B44" i="10"/>
  <c r="H70" i="12"/>
  <c r="H69" i="12"/>
  <c r="H68" i="12"/>
  <c r="H66" i="12"/>
  <c r="H65" i="12"/>
  <c r="H64" i="12"/>
  <c r="H60" i="12"/>
  <c r="H59" i="12"/>
  <c r="H58" i="12"/>
  <c r="H56" i="12"/>
  <c r="H55" i="12"/>
  <c r="H54" i="12"/>
  <c r="H50" i="12"/>
  <c r="H49" i="12"/>
  <c r="H48" i="12"/>
  <c r="H46" i="12"/>
  <c r="H45" i="12"/>
  <c r="H44" i="12"/>
  <c r="H15" i="12"/>
  <c r="H14" i="12"/>
  <c r="H13" i="12"/>
  <c r="H11" i="12"/>
  <c r="H10" i="12"/>
  <c r="H9" i="12"/>
  <c r="H24" i="12"/>
  <c r="H23" i="12"/>
  <c r="H21" i="12"/>
  <c r="H20" i="12"/>
  <c r="H19" i="12"/>
  <c r="H35" i="12"/>
  <c r="H34" i="12"/>
  <c r="H33" i="12"/>
  <c r="H31" i="12"/>
  <c r="H30" i="12"/>
  <c r="H29" i="12"/>
  <c r="H25" i="12"/>
  <c r="K6" i="12"/>
  <c r="J6" i="12"/>
  <c r="I6" i="12"/>
  <c r="B49" i="10" l="1"/>
  <c r="B26" i="10"/>
  <c r="B23" i="10"/>
  <c r="K5" i="12"/>
  <c r="J5" i="12"/>
  <c r="K4" i="12"/>
  <c r="J4" i="12"/>
  <c r="K3" i="12"/>
  <c r="J3" i="12"/>
  <c r="I5" i="12" l="1"/>
  <c r="I4" i="12"/>
  <c r="C9" i="13" l="1"/>
  <c r="C22" i="13" l="1"/>
  <c r="C7" i="13"/>
  <c r="C24" i="13" l="1"/>
  <c r="H10" i="13"/>
  <c r="H17" i="13"/>
  <c r="H9" i="13"/>
  <c r="H11" i="13"/>
  <c r="H24" i="13"/>
  <c r="H12" i="13"/>
  <c r="H18" i="13"/>
  <c r="H25" i="13"/>
  <c r="C21" i="13"/>
  <c r="H26" i="13"/>
  <c r="H13" i="13"/>
  <c r="H19" i="13"/>
  <c r="H27" i="13"/>
  <c r="H28" i="13"/>
  <c r="C10" i="13"/>
  <c r="H16" i="13"/>
  <c r="H20" i="13"/>
  <c r="F70" i="12"/>
  <c r="F69" i="12"/>
  <c r="F68" i="12"/>
  <c r="F67" i="12"/>
  <c r="F66" i="12"/>
  <c r="F65" i="12"/>
  <c r="F64" i="12"/>
  <c r="F63" i="12"/>
  <c r="F60" i="12"/>
  <c r="F59" i="12"/>
  <c r="F58" i="12"/>
  <c r="F57" i="12"/>
  <c r="F56" i="12"/>
  <c r="F55" i="12"/>
  <c r="F54" i="12"/>
  <c r="F53" i="12"/>
  <c r="F50" i="12"/>
  <c r="F49" i="12"/>
  <c r="F48" i="12"/>
  <c r="F47" i="12"/>
  <c r="F46" i="12"/>
  <c r="F45" i="12"/>
  <c r="F44" i="12"/>
  <c r="F43" i="12"/>
  <c r="F35" i="12"/>
  <c r="F34" i="12"/>
  <c r="F33" i="12"/>
  <c r="F32" i="12"/>
  <c r="F31" i="12"/>
  <c r="F30" i="12"/>
  <c r="F29" i="12"/>
  <c r="F28" i="12"/>
  <c r="F8" i="12"/>
  <c r="F25" i="12"/>
  <c r="F24" i="12"/>
  <c r="F23" i="12"/>
  <c r="F22" i="12"/>
  <c r="F21" i="12"/>
  <c r="F20" i="12"/>
  <c r="F19" i="12"/>
  <c r="F18" i="12"/>
  <c r="F15" i="12"/>
  <c r="F14" i="12"/>
  <c r="F13" i="12"/>
  <c r="F12" i="12"/>
  <c r="F11" i="12"/>
  <c r="F10" i="12"/>
  <c r="F9" i="12"/>
  <c r="C8" i="13" l="1"/>
  <c r="C19" i="13" s="1"/>
  <c r="B20" i="10"/>
  <c r="I3" i="12"/>
  <c r="C20" i="13" l="1"/>
  <c r="C23" i="13"/>
  <c r="B16" i="13"/>
  <c r="C18" i="13"/>
  <c r="B21" i="10"/>
  <c r="B22" i="10" s="1"/>
  <c r="B24" i="10" s="1"/>
  <c r="B45" i="10" l="1"/>
  <c r="B29" i="10"/>
  <c r="B30" i="10" s="1"/>
  <c r="B25" i="10"/>
  <c r="B27" i="10" s="1"/>
  <c r="B28" i="10" s="1"/>
  <c r="B31" i="10" l="1"/>
  <c r="B34" i="10" s="1"/>
  <c r="B36" i="10"/>
  <c r="B37" i="10"/>
  <c r="B35" i="10"/>
  <c r="B38" i="10" l="1"/>
  <c r="B39" i="10" l="1"/>
  <c r="B40" i="10" s="1"/>
  <c r="B41" i="10" s="1"/>
  <c r="B46" i="10" s="1"/>
  <c r="B12" i="10" l="1"/>
  <c r="C17" i="13" s="1"/>
  <c r="C28" i="13" s="1"/>
</calcChain>
</file>

<file path=xl/sharedStrings.xml><?xml version="1.0" encoding="utf-8"?>
<sst xmlns="http://schemas.openxmlformats.org/spreadsheetml/2006/main" count="202" uniqueCount="157">
  <si>
    <t>#5 Allowances (enter number of allowances)</t>
  </si>
  <si>
    <t>#6 Additional amount (enter additional amount PER PAY)</t>
  </si>
  <si>
    <t>Step 1</t>
  </si>
  <si>
    <t>Step 2</t>
  </si>
  <si>
    <t>n</t>
  </si>
  <si>
    <t>#3 Status (enter s, m, ms)</t>
  </si>
  <si>
    <t>2019 calculation</t>
  </si>
  <si>
    <t>Step 4</t>
  </si>
  <si>
    <t>Step 3</t>
  </si>
  <si>
    <t>Calculation</t>
  </si>
  <si>
    <t>Enter These:</t>
  </si>
  <si>
    <t>2019 Form Data</t>
  </si>
  <si>
    <t>STANDARD Withholding Rate Schedules</t>
  </si>
  <si>
    <t>Form W-4, Step 2, Checkbox, Withholding Rate Schedules</t>
  </si>
  <si>
    <r>
      <t xml:space="preserve">(Use these if the Form W-4 is from 2019 or earlier, or if the Form W-4 is from 2020 or later and the box in Step 2 of Form W-4 is </t>
    </r>
    <r>
      <rPr>
        <b/>
        <sz val="12"/>
        <rFont val="Arial"/>
        <family val="2"/>
      </rPr>
      <t>NOT</t>
    </r>
    <r>
      <rPr>
        <b/>
        <sz val="10"/>
        <rFont val="Arial"/>
        <family val="2"/>
      </rPr>
      <t xml:space="preserve"> checked.)</t>
    </r>
  </si>
  <si>
    <r>
      <t xml:space="preserve">(Use these if the Form W-4 is from 2020 or later and the box in Step 2 of Form W-4 </t>
    </r>
    <r>
      <rPr>
        <b/>
        <sz val="12"/>
        <color theme="0"/>
        <rFont val="Arial"/>
        <family val="2"/>
      </rPr>
      <t>IS</t>
    </r>
    <r>
      <rPr>
        <b/>
        <sz val="10"/>
        <color theme="0"/>
        <rFont val="Arial"/>
        <family val="2"/>
      </rPr>
      <t xml:space="preserve"> checked.)</t>
    </r>
  </si>
  <si>
    <t>If the Adjusted Annual Wage Amount (line 2a) is</t>
  </si>
  <si>
    <t>The tentative amount to withhold is…</t>
  </si>
  <si>
    <t>Plus this percentage..</t>
  </si>
  <si>
    <t>of the amount that the Adjusted Annual Wage exceeds…</t>
  </si>
  <si>
    <t xml:space="preserve"> At least…</t>
  </si>
  <si>
    <t>But less than…</t>
  </si>
  <si>
    <t>A</t>
  </si>
  <si>
    <t>B</t>
  </si>
  <si>
    <t>C</t>
  </si>
  <si>
    <t>D</t>
  </si>
  <si>
    <t>E</t>
  </si>
  <si>
    <t>Married Filing Jointly</t>
  </si>
  <si>
    <t>Single or Married Filing Separately</t>
  </si>
  <si>
    <t>Head of Household</t>
  </si>
  <si>
    <t>mn</t>
  </si>
  <si>
    <t>sn</t>
  </si>
  <si>
    <t>hn</t>
  </si>
  <si>
    <t>my</t>
  </si>
  <si>
    <t>sy</t>
  </si>
  <si>
    <t>hy</t>
  </si>
  <si>
    <t>KEY</t>
  </si>
  <si>
    <t>NRA Bump-Up</t>
  </si>
  <si>
    <t>16 pays</t>
  </si>
  <si>
    <t>24 pays</t>
  </si>
  <si>
    <t>W-4 Year</t>
  </si>
  <si>
    <t>Annual</t>
  </si>
  <si>
    <t>26 pays</t>
  </si>
  <si>
    <t>s</t>
  </si>
  <si>
    <t>Tax Amount</t>
  </si>
  <si>
    <t>ESTIMATED NET PAY</t>
  </si>
  <si>
    <t>Select</t>
  </si>
  <si>
    <t>Instructions:</t>
  </si>
  <si>
    <t>Annual Gross:</t>
  </si>
  <si>
    <t xml:space="preserve">    - Enter values in the green cells</t>
  </si>
  <si>
    <t>Number of pays:</t>
  </si>
  <si>
    <t xml:space="preserve">    - Lookup yellow cells in FED spreadsheet</t>
  </si>
  <si>
    <t xml:space="preserve">    - Be sure to enter negative deduction values</t>
  </si>
  <si>
    <t>Gross salary/pay:</t>
  </si>
  <si>
    <t xml:space="preserve">   Notes:</t>
  </si>
  <si>
    <t>Optional Medial Expenses</t>
  </si>
  <si>
    <t>Amount</t>
  </si>
  <si>
    <t>less medical copay</t>
  </si>
  <si>
    <t>less pre-tax retirement (TS1,2,3)</t>
  </si>
  <si>
    <t>Medical: employee only</t>
  </si>
  <si>
    <t>less flex health (FXH)</t>
  </si>
  <si>
    <r>
      <t xml:space="preserve">   enter </t>
    </r>
    <r>
      <rPr>
        <u/>
        <sz val="10"/>
        <color theme="1"/>
        <rFont val="Calibri"/>
        <family val="2"/>
        <scheme val="minor"/>
      </rPr>
      <t>negative</t>
    </r>
    <r>
      <rPr>
        <sz val="10"/>
        <color theme="1"/>
        <rFont val="Calibri"/>
        <family val="2"/>
        <scheme val="minor"/>
      </rPr>
      <t xml:space="preserve"> amount</t>
    </r>
  </si>
  <si>
    <t>Medical: employee+children</t>
  </si>
  <si>
    <t>less flex dep. Care (FXD)</t>
  </si>
  <si>
    <t>Medical: employee+spouse</t>
  </si>
  <si>
    <t>insurance waiver (INS)</t>
  </si>
  <si>
    <r>
      <t xml:space="preserve">   enter </t>
    </r>
    <r>
      <rPr>
        <u/>
        <sz val="10"/>
        <color theme="1"/>
        <rFont val="Calibri"/>
        <family val="2"/>
        <scheme val="minor"/>
      </rPr>
      <t>positive</t>
    </r>
    <r>
      <rPr>
        <sz val="10"/>
        <color theme="1"/>
        <rFont val="Calibri"/>
        <family val="2"/>
        <scheme val="minor"/>
      </rPr>
      <t xml:space="preserve"> amount</t>
    </r>
  </si>
  <si>
    <t>Medical: employee+family</t>
  </si>
  <si>
    <t>Medical: 2 employees</t>
  </si>
  <si>
    <t>less federal (FED)</t>
  </si>
  <si>
    <r>
      <t xml:space="preserve">   enter </t>
    </r>
    <r>
      <rPr>
        <i/>
        <u/>
        <sz val="10"/>
        <color theme="1"/>
        <rFont val="Calibri"/>
        <family val="2"/>
        <scheme val="minor"/>
      </rPr>
      <t>negative</t>
    </r>
    <r>
      <rPr>
        <i/>
        <sz val="10"/>
        <color theme="1"/>
        <rFont val="Calibri"/>
        <family val="2"/>
        <scheme val="minor"/>
      </rPr>
      <t xml:space="preserve"> amount from FED tab</t>
    </r>
  </si>
  <si>
    <t>less medicare (FIM)</t>
  </si>
  <si>
    <t>less social security (FIS)</t>
  </si>
  <si>
    <t>less state (SIT)</t>
  </si>
  <si>
    <t>less state unemployment (SUI)</t>
  </si>
  <si>
    <t>less local services (LST)</t>
  </si>
  <si>
    <t>less local (21x)</t>
  </si>
  <si>
    <t>Dental: employee only</t>
  </si>
  <si>
    <t>less post-tax retirement (TSA,B,C)</t>
  </si>
  <si>
    <t>Dental: employee+children</t>
  </si>
  <si>
    <t>less term life (LF1,2,3)</t>
  </si>
  <si>
    <t>Dental: employee+spouse</t>
  </si>
  <si>
    <t>less Messiah Cont. (CMC)</t>
  </si>
  <si>
    <t>Dental: employee+family</t>
  </si>
  <si>
    <t>less United Way Cont. (CUW)</t>
  </si>
  <si>
    <t>Dental: 2 employees</t>
  </si>
  <si>
    <r>
      <t>Estimated Net Pay</t>
    </r>
    <r>
      <rPr>
        <sz val="12"/>
        <color theme="1"/>
        <rFont val="Calibri"/>
        <family val="2"/>
        <scheme val="minor"/>
      </rPr>
      <t>:</t>
    </r>
  </si>
  <si>
    <t>Vision: employee only</t>
  </si>
  <si>
    <t>flat rate per pay</t>
  </si>
  <si>
    <t>Vision: employee+second</t>
  </si>
  <si>
    <t>Vision: employee+family</t>
  </si>
  <si>
    <t>High Deductible Plan</t>
  </si>
  <si>
    <t>PPO / HRA Plan</t>
  </si>
  <si>
    <t>Medical: spousal charge</t>
  </si>
  <si>
    <t>Spousal Charge</t>
  </si>
  <si>
    <t>Vision Plan</t>
  </si>
  <si>
    <t>Dental Plan</t>
  </si>
  <si>
    <t>less spousal charge</t>
  </si>
  <si>
    <t xml:space="preserve">    enter 1 to select option at right -----&gt;</t>
  </si>
  <si>
    <t xml:space="preserve">    enter 1 to select at lower right -----&gt;</t>
  </si>
  <si>
    <t>Imputed Income for Life (I50)</t>
  </si>
  <si>
    <t xml:space="preserve">   gross pay for federal - enter on FED tab</t>
  </si>
  <si>
    <t>2020+ calculation</t>
  </si>
  <si>
    <t>1b) enter number of pay periods (enter 24 or 26)</t>
  </si>
  <si>
    <t>1a) enter applicable gross for this pay period (includes NRA bump-up)</t>
  </si>
  <si>
    <t>1f) number from 4b above</t>
  </si>
  <si>
    <t>1c) employee's unadjusted annualized wages</t>
  </si>
  <si>
    <t>1d) number from 4a above</t>
  </si>
  <si>
    <t>1e) add 1c and 1d</t>
  </si>
  <si>
    <t>(unhide rows to see the calculations) See Publication 15-T worksheet for % method</t>
  </si>
  <si>
    <t>1g) individual allowance, based on check box in 2 above</t>
  </si>
  <si>
    <t>1h) add 1f and 1g</t>
  </si>
  <si>
    <t>1i) subtract 1h from 1e (Adjusted Annual Wage Amount)</t>
  </si>
  <si>
    <t>1j) number of allowances from 2019 form</t>
  </si>
  <si>
    <t>1k) multiply 1j time $4,300</t>
  </si>
  <si>
    <t>1l) subtract 1k from 1c (Adjusted Annual Wage Amount)</t>
  </si>
  <si>
    <t>2a) Adjusted Annual Wage Amount from either 1i or 1l above</t>
  </si>
  <si>
    <t>2b) table lookup amount in 2a, returning value in table column A</t>
  </si>
  <si>
    <t>2c) table lookup amount in 2a, returning value in table column C</t>
  </si>
  <si>
    <t>2d) table lookup amount in 2a, returning value in table column D</t>
  </si>
  <si>
    <t>2e) subtract 2b from 2a (tax total from the lower tax brackets)</t>
  </si>
  <si>
    <t>2f) multiply 2e times 2d (tax from the upper tax bracket)</t>
  </si>
  <si>
    <t>2g) add 2c and 2f (tax total, annualized, based on current pay period only)</t>
  </si>
  <si>
    <t>2h) divide 2g by number of pays (Tentative Withholding Amount)</t>
  </si>
  <si>
    <t>Figure the Tentative Withholding Amount</t>
  </si>
  <si>
    <t>Account for Tax Credits</t>
  </si>
  <si>
    <t>3a) amount from 2020 W-4 step 3 ($0 if using 2019 W-4)</t>
  </si>
  <si>
    <t>3b) divide 3a by number of pays</t>
  </si>
  <si>
    <t>3c) subtract 3b from 2h</t>
  </si>
  <si>
    <t>Figure the Final Amount ot Withhold</t>
  </si>
  <si>
    <t>4a) additional to withhold per pay</t>
  </si>
  <si>
    <t>4b) add the additional amount to the tax calculated above (the amount is</t>
  </si>
  <si>
    <t xml:space="preserve">       added in the total of either the 2020+ or 2019 calcuation (cell B12).</t>
  </si>
  <si>
    <t>included</t>
  </si>
  <si>
    <t>above</t>
  </si>
  <si>
    <t>Year:  2022-2023</t>
  </si>
  <si>
    <t>less high deduct contrib (HSA)</t>
  </si>
  <si>
    <t>2020+ Form Data</t>
  </si>
  <si>
    <t>Are you a Non-Resident Alien? (enter y or n)</t>
  </si>
  <si>
    <t>Step #1c Status (enter s, m, h = use S for married/separate, use M for married/joint)</t>
  </si>
  <si>
    <t>Step #4a Other Income (enter amount)</t>
  </si>
  <si>
    <t>Step #4b Deductions (enter amount)</t>
  </si>
  <si>
    <t>Step #4C Extra Withholdings (enter amount)</t>
  </si>
  <si>
    <t>Step #3 Amount (enter the amount from the total line on the W-4 form)</t>
  </si>
  <si>
    <t>Current Calendar Year</t>
  </si>
  <si>
    <t>Applicable Gross wages for usual pay period (from paystub)</t>
  </si>
  <si>
    <t>Number of pay periods (enter 16 for students, 24 for admin/faculty, 26 for staff/temporary)</t>
  </si>
  <si>
    <t>Step #2 Checkbox (Did you check that box on the W-4 form? Then enter y or n.)</t>
  </si>
  <si>
    <t>&lt;= this is the amount exptected to be withheld each pay period</t>
  </si>
  <si>
    <t>Adjust the Employee's Payment Amount (Worksheet 1A in Publication 15-T)</t>
  </si>
  <si>
    <t>single needs this or more to be taxed</t>
  </si>
  <si>
    <t>married needs this or more to be taxed</t>
  </si>
  <si>
    <t>head of household needs this or more to be taxed</t>
  </si>
  <si>
    <t>Semimonthly:</t>
  </si>
  <si>
    <t>2025 Percentage Method Tables</t>
  </si>
  <si>
    <t>m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</si>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</sst>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General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#,##0.00_x_x_x;\-#,##0.00_x_x_x"/>
    <numFmt numFmtId="169" formatCode="_x_x0.00%"/>
    <numFmt numFmtId="170" formatCode="_x_x0.00%&quot;  enter percentage in this cell&quot;"/>
  </numFmts>
  <fonts count="3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ourier"/>
    </font>
    <font>
      <sz val="12"/>
      <color theme="1"/>
      <name val="Arial Rounded MT Bold"/>
      <family val="2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sz val="14"/>
      <name val="Arial Rounded MT Bold"/>
      <family val="2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lightGray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164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0" fontId="17" fillId="0" borderId="0"/>
    <xf numFmtId="9" fontId="15" fillId="0" borderId="0" applyFont="0" applyFill="0" applyBorder="0" applyAlignment="0" applyProtection="0"/>
    <xf numFmtId="0" fontId="2" fillId="0" borderId="0"/>
    <xf numFmtId="0" fontId="2" fillId="0" borderId="0"/>
  </cellStyleXfs>
  <cellXfs count="140">
    <xf numFmtId="164" fontId="0" fillId="0" borderId="0" xfId="0"/>
    <xf numFmtId="0" fontId="8" fillId="0" borderId="0" xfId="8" applyFont="1" applyAlignment="1">
      <alignment vertical="center"/>
    </xf>
    <xf numFmtId="0" fontId="12" fillId="0" borderId="0" xfId="8" applyFont="1" applyAlignment="1">
      <alignment vertical="center"/>
    </xf>
    <xf numFmtId="165" fontId="8" fillId="0" borderId="0" xfId="8" applyNumberFormat="1" applyFont="1" applyAlignment="1">
      <alignment vertical="center"/>
    </xf>
    <xf numFmtId="0" fontId="10" fillId="0" borderId="0" xfId="8" applyFont="1" applyAlignment="1">
      <alignment vertical="center"/>
    </xf>
    <xf numFmtId="9" fontId="13" fillId="0" borderId="0" xfId="7" applyFont="1" applyAlignment="1">
      <alignment vertical="center"/>
    </xf>
    <xf numFmtId="44" fontId="8" fillId="0" borderId="0" xfId="8" applyNumberFormat="1" applyFont="1" applyAlignment="1">
      <alignment vertical="center"/>
    </xf>
    <xf numFmtId="165" fontId="13" fillId="0" borderId="0" xfId="6" applyNumberFormat="1" applyFont="1" applyAlignment="1">
      <alignment vertical="center"/>
    </xf>
    <xf numFmtId="0" fontId="9" fillId="4" borderId="0" xfId="8" applyFont="1" applyFill="1" applyAlignment="1">
      <alignment horizontal="right" vertical="center"/>
    </xf>
    <xf numFmtId="0" fontId="8" fillId="4" borderId="0" xfId="8" applyFont="1" applyFill="1" applyAlignment="1">
      <alignment vertical="center"/>
    </xf>
    <xf numFmtId="0" fontId="12" fillId="0" borderId="0" xfId="8" applyFont="1" applyAlignment="1">
      <alignment horizontal="right" vertical="center"/>
    </xf>
    <xf numFmtId="44" fontId="14" fillId="0" borderId="9" xfId="8" applyNumberFormat="1" applyFont="1" applyBorder="1" applyAlignment="1">
      <alignment vertical="center"/>
    </xf>
    <xf numFmtId="165" fontId="8" fillId="4" borderId="0" xfId="6" applyNumberFormat="1" applyFont="1" applyFill="1" applyAlignment="1">
      <alignment vertical="center"/>
    </xf>
    <xf numFmtId="44" fontId="8" fillId="4" borderId="0" xfId="6" applyFont="1" applyFill="1" applyAlignment="1">
      <alignment vertical="center"/>
    </xf>
    <xf numFmtId="0" fontId="8" fillId="4" borderId="0" xfId="6" applyNumberFormat="1" applyFont="1" applyFill="1" applyAlignment="1">
      <alignment horizontal="center" vertical="center"/>
    </xf>
    <xf numFmtId="0" fontId="10" fillId="4" borderId="0" xfId="8" applyFont="1" applyFill="1" applyAlignment="1">
      <alignment vertical="center"/>
    </xf>
    <xf numFmtId="165" fontId="8" fillId="3" borderId="1" xfId="8" applyNumberFormat="1" applyFont="1" applyFill="1" applyBorder="1" applyAlignment="1">
      <alignment vertical="center"/>
    </xf>
    <xf numFmtId="0" fontId="18" fillId="6" borderId="3" xfId="9" applyFont="1" applyFill="1" applyBorder="1" applyAlignment="1">
      <alignment horizontal="centerContinuous"/>
    </xf>
    <xf numFmtId="0" fontId="18" fillId="6" borderId="10" xfId="9" applyFont="1" applyFill="1" applyBorder="1" applyAlignment="1">
      <alignment horizontal="centerContinuous"/>
    </xf>
    <xf numFmtId="0" fontId="18" fillId="6" borderId="4" xfId="9" applyFont="1" applyFill="1" applyBorder="1" applyAlignment="1">
      <alignment horizontal="centerContinuous"/>
    </xf>
    <xf numFmtId="0" fontId="15" fillId="0" borderId="0" xfId="2" applyFont="1"/>
    <xf numFmtId="0" fontId="19" fillId="5" borderId="3" xfId="9" applyFont="1" applyFill="1" applyBorder="1" applyAlignment="1">
      <alignment horizontal="centerContinuous"/>
    </xf>
    <xf numFmtId="0" fontId="19" fillId="5" borderId="10" xfId="9" applyFont="1" applyFill="1" applyBorder="1" applyAlignment="1">
      <alignment horizontal="centerContinuous"/>
    </xf>
    <xf numFmtId="0" fontId="19" fillId="5" borderId="4" xfId="9" applyFont="1" applyFill="1" applyBorder="1" applyAlignment="1">
      <alignment horizontal="centerContinuous"/>
    </xf>
    <xf numFmtId="0" fontId="17" fillId="0" borderId="2" xfId="9" applyBorder="1" applyAlignment="1">
      <alignment horizontal="center" wrapText="1"/>
    </xf>
    <xf numFmtId="0" fontId="17" fillId="0" borderId="0" xfId="9" applyAlignment="1">
      <alignment horizontal="center" wrapText="1"/>
    </xf>
    <xf numFmtId="0" fontId="17" fillId="0" borderId="2" xfId="9" applyBorder="1"/>
    <xf numFmtId="0" fontId="17" fillId="0" borderId="0" xfId="9"/>
    <xf numFmtId="0" fontId="15" fillId="0" borderId="7" xfId="2" applyFont="1" applyBorder="1"/>
    <xf numFmtId="0" fontId="18" fillId="0" borderId="2" xfId="9" applyFont="1" applyBorder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17" fillId="7" borderId="2" xfId="9" applyFill="1" applyBorder="1" applyAlignment="1">
      <alignment horizontal="centerContinuous"/>
    </xf>
    <xf numFmtId="0" fontId="17" fillId="7" borderId="0" xfId="9" applyFill="1" applyAlignment="1">
      <alignment horizontal="centerContinuous"/>
    </xf>
    <xf numFmtId="0" fontId="17" fillId="7" borderId="7" xfId="9" applyFill="1" applyBorder="1" applyAlignment="1">
      <alignment horizontal="centerContinuous"/>
    </xf>
    <xf numFmtId="5" fontId="17" fillId="0" borderId="2" xfId="9" applyNumberFormat="1" applyBorder="1"/>
    <xf numFmtId="5" fontId="17" fillId="0" borderId="0" xfId="9" applyNumberFormat="1"/>
    <xf numFmtId="7" fontId="17" fillId="0" borderId="0" xfId="9" applyNumberFormat="1"/>
    <xf numFmtId="9" fontId="17" fillId="0" borderId="0" xfId="10" applyFont="1" applyBorder="1"/>
    <xf numFmtId="5" fontId="15" fillId="0" borderId="7" xfId="2" applyNumberFormat="1" applyFont="1" applyBorder="1"/>
    <xf numFmtId="9" fontId="17" fillId="0" borderId="0" xfId="9" applyNumberFormat="1"/>
    <xf numFmtId="5" fontId="17" fillId="0" borderId="5" xfId="9" applyNumberFormat="1" applyBorder="1"/>
    <xf numFmtId="5" fontId="17" fillId="0" borderId="8" xfId="9" applyNumberFormat="1" applyBorder="1"/>
    <xf numFmtId="7" fontId="17" fillId="0" borderId="8" xfId="9" applyNumberFormat="1" applyBorder="1"/>
    <xf numFmtId="9" fontId="17" fillId="0" borderId="8" xfId="9" applyNumberFormat="1" applyBorder="1"/>
    <xf numFmtId="5" fontId="15" fillId="0" borderId="6" xfId="2" applyNumberFormat="1" applyFont="1" applyBorder="1"/>
    <xf numFmtId="0" fontId="15" fillId="0" borderId="0" xfId="2" applyFont="1" applyAlignment="1">
      <alignment horizontal="center"/>
    </xf>
    <xf numFmtId="0" fontId="16" fillId="0" borderId="0" xfId="2" applyFont="1" applyAlignment="1">
      <alignment vertical="top"/>
    </xf>
    <xf numFmtId="164" fontId="23" fillId="0" borderId="0" xfId="0" applyFont="1"/>
    <xf numFmtId="164" fontId="23" fillId="0" borderId="0" xfId="0" applyFont="1" applyAlignment="1">
      <alignment horizontal="center"/>
    </xf>
    <xf numFmtId="0" fontId="9" fillId="0" borderId="0" xfId="8" applyFont="1" applyAlignment="1">
      <alignment horizontal="left" vertical="center"/>
    </xf>
    <xf numFmtId="44" fontId="24" fillId="3" borderId="1" xfId="6" applyFont="1" applyFill="1" applyBorder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vertical="center"/>
    </xf>
    <xf numFmtId="0" fontId="15" fillId="3" borderId="10" xfId="2" applyFont="1" applyFill="1" applyBorder="1" applyAlignment="1">
      <alignment horizontal="center" vertical="center"/>
    </xf>
    <xf numFmtId="0" fontId="8" fillId="2" borderId="0" xfId="8" applyFont="1" applyFill="1" applyAlignment="1" applyProtection="1">
      <alignment horizontal="center" vertical="center"/>
      <protection locked="0"/>
    </xf>
    <xf numFmtId="44" fontId="8" fillId="2" borderId="0" xfId="6" applyFont="1" applyFill="1" applyAlignment="1" applyProtection="1">
      <alignment vertical="center"/>
      <protection locked="0"/>
    </xf>
    <xf numFmtId="165" fontId="8" fillId="2" borderId="0" xfId="6" applyNumberFormat="1" applyFont="1" applyFill="1" applyAlignment="1" applyProtection="1">
      <alignment vertical="center"/>
      <protection locked="0"/>
    </xf>
    <xf numFmtId="0" fontId="8" fillId="0" borderId="0" xfId="8" quotePrefix="1" applyFont="1" applyAlignment="1">
      <alignment vertical="center"/>
    </xf>
    <xf numFmtId="0" fontId="22" fillId="3" borderId="1" xfId="2" applyFont="1" applyFill="1" applyBorder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0" fontId="25" fillId="0" borderId="0" xfId="8" applyFont="1" applyAlignment="1">
      <alignment vertical="center"/>
    </xf>
    <xf numFmtId="0" fontId="8" fillId="8" borderId="0" xfId="8" applyFont="1" applyFill="1" applyAlignment="1">
      <alignment vertical="center"/>
    </xf>
    <xf numFmtId="0" fontId="8" fillId="4" borderId="0" xfId="8" applyFont="1" applyFill="1" applyAlignment="1" applyProtection="1">
      <alignment horizontal="center" vertical="center"/>
      <protection locked="0"/>
    </xf>
    <xf numFmtId="165" fontId="8" fillId="4" borderId="0" xfId="6" applyNumberFormat="1" applyFont="1" applyFill="1" applyAlignment="1" applyProtection="1">
      <alignment vertical="center"/>
      <protection locked="0"/>
    </xf>
    <xf numFmtId="0" fontId="10" fillId="9" borderId="0" xfId="11" applyFont="1" applyFill="1"/>
    <xf numFmtId="0" fontId="2" fillId="9" borderId="0" xfId="11" applyFill="1"/>
    <xf numFmtId="0" fontId="26" fillId="10" borderId="0" xfId="11" applyFont="1" applyFill="1" applyAlignment="1">
      <alignment horizontal="center"/>
    </xf>
    <xf numFmtId="0" fontId="2" fillId="0" borderId="0" xfId="11"/>
    <xf numFmtId="0" fontId="27" fillId="4" borderId="0" xfId="12" applyFont="1" applyFill="1"/>
    <xf numFmtId="0" fontId="2" fillId="4" borderId="0" xfId="11" applyFill="1"/>
    <xf numFmtId="0" fontId="10" fillId="0" borderId="3" xfId="11" applyFont="1" applyBorder="1" applyAlignment="1">
      <alignment horizontal="left" indent="1"/>
    </xf>
    <xf numFmtId="166" fontId="10" fillId="2" borderId="4" xfId="11" applyNumberFormat="1" applyFont="1" applyFill="1" applyBorder="1" applyProtection="1">
      <protection locked="0"/>
    </xf>
    <xf numFmtId="0" fontId="10" fillId="0" borderId="5" xfId="11" applyFont="1" applyBorder="1" applyAlignment="1">
      <alignment horizontal="left" indent="1"/>
    </xf>
    <xf numFmtId="3" fontId="10" fillId="2" borderId="6" xfId="11" applyNumberFormat="1" applyFont="1" applyFill="1" applyBorder="1" applyProtection="1">
      <protection locked="0"/>
    </xf>
    <xf numFmtId="0" fontId="10" fillId="0" borderId="0" xfId="11" applyFont="1" applyAlignment="1">
      <alignment horizontal="left" indent="1"/>
    </xf>
    <xf numFmtId="3" fontId="10" fillId="0" borderId="0" xfId="11" applyNumberFormat="1" applyFont="1"/>
    <xf numFmtId="0" fontId="2" fillId="0" borderId="0" xfId="11" applyAlignment="1">
      <alignment horizontal="left"/>
    </xf>
    <xf numFmtId="0" fontId="10" fillId="0" borderId="11" xfId="11" applyFont="1" applyBorder="1" applyAlignment="1">
      <alignment horizontal="left"/>
    </xf>
    <xf numFmtId="167" fontId="10" fillId="0" borderId="12" xfId="11" applyNumberFormat="1" applyFont="1" applyBorder="1"/>
    <xf numFmtId="0" fontId="10" fillId="0" borderId="1" xfId="11" applyFont="1" applyBorder="1" applyAlignment="1">
      <alignment horizontal="left"/>
    </xf>
    <xf numFmtId="0" fontId="2" fillId="11" borderId="13" xfId="11" applyFill="1" applyBorder="1" applyAlignment="1">
      <alignment horizontal="center"/>
    </xf>
    <xf numFmtId="0" fontId="10" fillId="0" borderId="11" xfId="11" applyFont="1" applyBorder="1"/>
    <xf numFmtId="0" fontId="10" fillId="0" borderId="14" xfId="11" applyFont="1" applyBorder="1" applyAlignment="1">
      <alignment horizontal="center"/>
    </xf>
    <xf numFmtId="0" fontId="8" fillId="0" borderId="2" xfId="11" applyFont="1" applyBorder="1" applyAlignment="1">
      <alignment horizontal="right"/>
    </xf>
    <xf numFmtId="168" fontId="8" fillId="0" borderId="0" xfId="11" applyNumberFormat="1" applyFont="1"/>
    <xf numFmtId="169" fontId="8" fillId="11" borderId="13" xfId="11" quotePrefix="1" applyNumberFormat="1" applyFont="1" applyFill="1" applyBorder="1" applyAlignment="1">
      <alignment horizontal="left"/>
    </xf>
    <xf numFmtId="0" fontId="2" fillId="2" borderId="13" xfId="11" applyFill="1" applyBorder="1" applyAlignment="1">
      <alignment horizontal="center"/>
    </xf>
    <xf numFmtId="0" fontId="28" fillId="12" borderId="2" xfId="11" applyFont="1" applyFill="1" applyBorder="1" applyAlignment="1">
      <alignment horizontal="centerContinuous"/>
    </xf>
    <xf numFmtId="0" fontId="10" fillId="12" borderId="0" xfId="11" applyFont="1" applyFill="1" applyAlignment="1">
      <alignment horizontal="centerContinuous"/>
    </xf>
    <xf numFmtId="0" fontId="10" fillId="12" borderId="15" xfId="11" applyFont="1" applyFill="1" applyBorder="1" applyAlignment="1">
      <alignment horizontal="left"/>
    </xf>
    <xf numFmtId="170" fontId="8" fillId="2" borderId="15" xfId="11" quotePrefix="1" applyNumberFormat="1" applyFont="1" applyFill="1" applyBorder="1" applyAlignment="1" applyProtection="1">
      <alignment horizontal="left"/>
      <protection locked="0"/>
    </xf>
    <xf numFmtId="0" fontId="2" fillId="2" borderId="15" xfId="11" applyFill="1" applyBorder="1" applyAlignment="1" applyProtection="1">
      <alignment horizontal="center"/>
      <protection locked="0"/>
    </xf>
    <xf numFmtId="0" fontId="8" fillId="0" borderId="2" xfId="11" applyFont="1" applyBorder="1" applyAlignment="1">
      <alignment horizontal="left"/>
    </xf>
    <xf numFmtId="168" fontId="8" fillId="0" borderId="7" xfId="11" applyNumberFormat="1" applyFont="1" applyBorder="1"/>
    <xf numFmtId="169" fontId="8" fillId="0" borderId="15" xfId="11" quotePrefix="1" applyNumberFormat="1" applyFont="1" applyBorder="1" applyAlignment="1">
      <alignment horizontal="left"/>
    </xf>
    <xf numFmtId="168" fontId="8" fillId="2" borderId="0" xfId="11" applyNumberFormat="1" applyFont="1" applyFill="1" applyProtection="1">
      <protection locked="0"/>
    </xf>
    <xf numFmtId="169" fontId="8" fillId="0" borderId="15" xfId="11" applyNumberFormat="1" applyFont="1" applyBorder="1" applyAlignment="1">
      <alignment horizontal="left"/>
    </xf>
    <xf numFmtId="4" fontId="30" fillId="8" borderId="2" xfId="11" applyNumberFormat="1" applyFont="1" applyFill="1" applyBorder="1" applyAlignment="1">
      <alignment horizontal="right"/>
    </xf>
    <xf numFmtId="168" fontId="30" fillId="0" borderId="0" xfId="11" applyNumberFormat="1" applyFont="1"/>
    <xf numFmtId="169" fontId="30" fillId="0" borderId="15" xfId="11" applyNumberFormat="1" applyFont="1" applyBorder="1" applyAlignment="1">
      <alignment horizontal="left"/>
    </xf>
    <xf numFmtId="0" fontId="2" fillId="2" borderId="15" xfId="11" applyFill="1" applyBorder="1" applyAlignment="1">
      <alignment horizontal="center"/>
    </xf>
    <xf numFmtId="169" fontId="8" fillId="12" borderId="15" xfId="11" applyNumberFormat="1" applyFont="1" applyFill="1" applyBorder="1" applyAlignment="1">
      <alignment horizontal="left"/>
    </xf>
    <xf numFmtId="0" fontId="8" fillId="0" borderId="15" xfId="11" quotePrefix="1" applyFont="1" applyBorder="1" applyAlignment="1">
      <alignment horizontal="left"/>
    </xf>
    <xf numFmtId="0" fontId="2" fillId="2" borderId="16" xfId="11" applyFill="1" applyBorder="1" applyAlignment="1" applyProtection="1">
      <alignment horizontal="center"/>
      <protection locked="0"/>
    </xf>
    <xf numFmtId="0" fontId="2" fillId="2" borderId="13" xfId="11" applyFill="1" applyBorder="1" applyAlignment="1" applyProtection="1">
      <alignment horizontal="center"/>
      <protection locked="0"/>
    </xf>
    <xf numFmtId="168" fontId="8" fillId="2" borderId="7" xfId="11" applyNumberFormat="1" applyFont="1" applyFill="1" applyBorder="1" applyProtection="1">
      <protection locked="0"/>
    </xf>
    <xf numFmtId="0" fontId="8" fillId="0" borderId="16" xfId="11" quotePrefix="1" applyFont="1" applyBorder="1" applyAlignment="1">
      <alignment horizontal="left"/>
    </xf>
    <xf numFmtId="0" fontId="8" fillId="0" borderId="5" xfId="11" applyFont="1" applyBorder="1" applyAlignment="1">
      <alignment horizontal="left"/>
    </xf>
    <xf numFmtId="168" fontId="8" fillId="0" borderId="6" xfId="11" applyNumberFormat="1" applyFont="1" applyBorder="1"/>
    <xf numFmtId="168" fontId="8" fillId="0" borderId="8" xfId="11" applyNumberFormat="1" applyFont="1" applyBorder="1"/>
    <xf numFmtId="169" fontId="8" fillId="0" borderId="16" xfId="11" applyNumberFormat="1" applyFont="1" applyBorder="1" applyAlignment="1">
      <alignment horizontal="left"/>
    </xf>
    <xf numFmtId="0" fontId="1" fillId="0" borderId="0" xfId="11" applyFont="1"/>
    <xf numFmtId="0" fontId="12" fillId="0" borderId="0" xfId="11" applyFont="1"/>
    <xf numFmtId="0" fontId="1" fillId="0" borderId="0" xfId="11" quotePrefix="1" applyFont="1"/>
    <xf numFmtId="4" fontId="2" fillId="0" borderId="0" xfId="11" applyNumberFormat="1"/>
    <xf numFmtId="0" fontId="28" fillId="12" borderId="3" xfId="11" applyFont="1" applyFill="1" applyBorder="1" applyAlignment="1">
      <alignment horizontal="centerContinuous"/>
    </xf>
    <xf numFmtId="0" fontId="10" fillId="12" borderId="10" xfId="11" applyFont="1" applyFill="1" applyBorder="1" applyAlignment="1">
      <alignment horizontal="centerContinuous"/>
    </xf>
    <xf numFmtId="169" fontId="8" fillId="12" borderId="13" xfId="11" applyNumberFormat="1" applyFont="1" applyFill="1" applyBorder="1" applyAlignment="1">
      <alignment horizontal="left"/>
    </xf>
    <xf numFmtId="167" fontId="2" fillId="0" borderId="0" xfId="11" applyNumberFormat="1"/>
    <xf numFmtId="0" fontId="28" fillId="12" borderId="3" xfId="11" applyFont="1" applyFill="1" applyBorder="1"/>
    <xf numFmtId="165" fontId="8" fillId="13" borderId="0" xfId="6" applyNumberFormat="1" applyFont="1" applyFill="1" applyAlignment="1">
      <alignment vertical="center"/>
    </xf>
    <xf numFmtId="165" fontId="8" fillId="4" borderId="0" xfId="8" applyNumberFormat="1" applyFont="1" applyFill="1" applyAlignment="1">
      <alignment vertical="center"/>
    </xf>
    <xf numFmtId="44" fontId="24" fillId="13" borderId="1" xfId="6" applyFont="1" applyFill="1" applyBorder="1" applyAlignment="1">
      <alignment vertical="center"/>
    </xf>
    <xf numFmtId="0" fontId="28" fillId="0" borderId="0" xfId="8" applyFont="1" applyAlignment="1">
      <alignment vertical="center"/>
    </xf>
    <xf numFmtId="0" fontId="28" fillId="4" borderId="0" xfId="8" applyFont="1" applyFill="1" applyAlignment="1">
      <alignment vertical="center"/>
    </xf>
    <xf numFmtId="0" fontId="8" fillId="0" borderId="0" xfId="8" applyFont="1" applyAlignment="1">
      <alignment horizontal="center" vertical="center"/>
    </xf>
    <xf numFmtId="0" fontId="8" fillId="14" borderId="0" xfId="8" applyFont="1" applyFill="1" applyAlignment="1">
      <alignment vertical="center"/>
    </xf>
    <xf numFmtId="44" fontId="8" fillId="14" borderId="0" xfId="6" applyFont="1" applyFill="1" applyAlignment="1">
      <alignment vertical="center"/>
    </xf>
    <xf numFmtId="0" fontId="8" fillId="14" borderId="0" xfId="8" applyFont="1" applyFill="1" applyAlignment="1">
      <alignment horizontal="center" vertical="center"/>
    </xf>
    <xf numFmtId="0" fontId="17" fillId="0" borderId="5" xfId="9" applyBorder="1" applyAlignment="1">
      <alignment horizontal="center" wrapText="1"/>
    </xf>
    <xf numFmtId="0" fontId="17" fillId="0" borderId="8" xfId="9" applyBorder="1" applyAlignment="1">
      <alignment horizontal="center" wrapText="1"/>
    </xf>
    <xf numFmtId="0" fontId="17" fillId="0" borderId="0" xfId="9" applyAlignment="1">
      <alignment horizontal="center" wrapText="1"/>
    </xf>
    <xf numFmtId="0" fontId="17" fillId="0" borderId="7" xfId="9" applyBorder="1" applyAlignment="1">
      <alignment horizontal="center" wrapText="1"/>
    </xf>
    <xf numFmtId="0" fontId="18" fillId="6" borderId="2" xfId="9" applyFont="1" applyFill="1" applyBorder="1" applyAlignment="1">
      <alignment horizontal="center" vertical="center" wrapText="1"/>
    </xf>
    <xf numFmtId="0" fontId="18" fillId="6" borderId="0" xfId="9" applyFont="1" applyFill="1" applyAlignment="1">
      <alignment horizontal="center" vertical="center" wrapText="1"/>
    </xf>
    <xf numFmtId="0" fontId="18" fillId="6" borderId="7" xfId="9" applyFont="1" applyFill="1" applyBorder="1" applyAlignment="1">
      <alignment horizontal="center" vertical="center" wrapText="1"/>
    </xf>
    <xf numFmtId="0" fontId="19" fillId="5" borderId="2" xfId="9" applyFont="1" applyFill="1" applyBorder="1" applyAlignment="1">
      <alignment horizontal="center" vertical="center" wrapText="1"/>
    </xf>
    <xf numFmtId="0" fontId="19" fillId="5" borderId="0" xfId="9" applyFont="1" applyFill="1" applyAlignment="1">
      <alignment horizontal="center" vertical="center" wrapText="1"/>
    </xf>
    <xf numFmtId="0" fontId="19" fillId="5" borderId="7" xfId="9" applyFont="1" applyFill="1" applyBorder="1" applyAlignment="1">
      <alignment horizontal="center" vertical="center" wrapText="1"/>
    </xf>
  </cellXfs>
  <cellStyles count="13">
    <cellStyle name="Currency" xfId="6" builtinId="4"/>
    <cellStyle name="Currency 2" xfId="5" xr:uid="{00000000-0005-0000-0000-000001000000}"/>
    <cellStyle name="Normal" xfId="0" builtinId="0"/>
    <cellStyle name="Normal 2" xfId="1" xr:uid="{00000000-0005-0000-0000-000003000000}"/>
    <cellStyle name="Normal 2 2" xfId="9" xr:uid="{00000000-0005-0000-0000-000004000000}"/>
    <cellStyle name="Normal 3" xfId="2" xr:uid="{00000000-0005-0000-0000-000005000000}"/>
    <cellStyle name="Normal 3 2" xfId="3" xr:uid="{00000000-0005-0000-0000-000006000000}"/>
    <cellStyle name="Normal 3 2 2" xfId="12" xr:uid="{00000000-0005-0000-0000-000007000000}"/>
    <cellStyle name="Normal 3 3" xfId="11" xr:uid="{00000000-0005-0000-0000-000008000000}"/>
    <cellStyle name="Normal 4" xfId="4" xr:uid="{00000000-0005-0000-0000-000009000000}"/>
    <cellStyle name="Normal 5" xfId="8" xr:uid="{00000000-0005-0000-0000-00000A000000}"/>
    <cellStyle name="Percent" xfId="7" builtinId="5"/>
    <cellStyle name="Percent 2" xfId="10" xr:uid="{00000000-0005-0000-0000-00000C00000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zoomScaleNormal="100" workbookViewId="0">
      <selection activeCell="B7" sqref="B7"/>
    </sheetView>
  </sheetViews>
  <sheetFormatPr defaultColWidth="9" defaultRowHeight="13" x14ac:dyDescent="0.25"/>
  <cols>
    <col min="1" max="1" width="18.33203125" style="1" bestFit="1" customWidth="1"/>
    <col min="2" max="2" width="10.4140625" style="1" customWidth="1"/>
    <col min="3" max="3" width="62.75" style="1" customWidth="1"/>
    <col min="4" max="4" width="9" style="1"/>
    <col min="5" max="6" width="9.58203125" style="1" bestFit="1" customWidth="1"/>
    <col min="7" max="7" width="18.25" style="1" bestFit="1" customWidth="1"/>
    <col min="8" max="16384" width="9" style="1"/>
  </cols>
  <sheetData>
    <row r="1" spans="1:3" ht="15" x14ac:dyDescent="0.25">
      <c r="A1" s="10" t="s">
        <v>10</v>
      </c>
      <c r="B1" s="55">
        <v>2025</v>
      </c>
      <c r="C1" s="1" t="s">
        <v>144</v>
      </c>
    </row>
    <row r="2" spans="1:3" ht="15" x14ac:dyDescent="0.25">
      <c r="A2" s="2"/>
      <c r="B2" s="56">
        <v>2500</v>
      </c>
      <c r="C2" s="1" t="s">
        <v>145</v>
      </c>
    </row>
    <row r="3" spans="1:3" ht="15" x14ac:dyDescent="0.25">
      <c r="A3" s="2"/>
      <c r="B3" s="55">
        <v>24</v>
      </c>
      <c r="C3" s="1" t="s">
        <v>146</v>
      </c>
    </row>
    <row r="4" spans="1:3" ht="15" x14ac:dyDescent="0.25">
      <c r="A4" s="2"/>
      <c r="B4" s="55" t="s">
        <v>4</v>
      </c>
      <c r="C4" s="1" t="s">
        <v>138</v>
      </c>
    </row>
    <row r="6" spans="1:3" ht="15" customHeight="1" x14ac:dyDescent="0.25">
      <c r="A6" s="10" t="s">
        <v>137</v>
      </c>
      <c r="B6" s="55" t="s">
        <v>155</v>
      </c>
      <c r="C6" s="1" t="s">
        <v>139</v>
      </c>
    </row>
    <row r="7" spans="1:3" ht="15" customHeight="1" x14ac:dyDescent="0.25">
      <c r="A7" s="61"/>
      <c r="B7" s="55" t="s">
        <v>156</v>
      </c>
      <c r="C7" s="1" t="s">
        <v>147</v>
      </c>
    </row>
    <row r="8" spans="1:3" ht="15" customHeight="1" x14ac:dyDescent="0.25">
      <c r="B8" s="57">
        <v>0</v>
      </c>
      <c r="C8" s="1" t="s">
        <v>143</v>
      </c>
    </row>
    <row r="9" spans="1:3" ht="15" customHeight="1" x14ac:dyDescent="0.25">
      <c r="B9" s="57">
        <v>0</v>
      </c>
      <c r="C9" s="1" t="s">
        <v>140</v>
      </c>
    </row>
    <row r="10" spans="1:3" ht="15" customHeight="1" x14ac:dyDescent="0.25">
      <c r="B10" s="57">
        <v>0</v>
      </c>
      <c r="C10" s="1" t="s">
        <v>141</v>
      </c>
    </row>
    <row r="11" spans="1:3" ht="15" customHeight="1" thickBot="1" x14ac:dyDescent="0.3">
      <c r="B11" s="57">
        <v>0</v>
      </c>
      <c r="C11" s="1" t="s">
        <v>142</v>
      </c>
    </row>
    <row r="12" spans="1:3" ht="15" customHeight="1" thickTop="1" thickBot="1" x14ac:dyDescent="0.3">
      <c r="A12" s="2" t="s">
        <v>44</v>
      </c>
      <c r="B12" s="11">
        <f ca="1">+B46+B49</f>
        <v>215.0625</v>
      </c>
      <c r="C12" s="58" t="s">
        <v>148</v>
      </c>
    </row>
    <row r="13" spans="1:3" ht="13.5" hidden="1" thickTop="1" x14ac:dyDescent="0.25"/>
    <row r="14" spans="1:3" ht="15" hidden="1" x14ac:dyDescent="0.25">
      <c r="A14" s="10" t="s">
        <v>11</v>
      </c>
      <c r="B14" s="63" t="s">
        <v>43</v>
      </c>
      <c r="C14" s="1" t="s">
        <v>5</v>
      </c>
    </row>
    <row r="15" spans="1:3" hidden="1" x14ac:dyDescent="0.25">
      <c r="B15" s="63">
        <v>0</v>
      </c>
      <c r="C15" s="1" t="s">
        <v>0</v>
      </c>
    </row>
    <row r="16" spans="1:3" hidden="1" x14ac:dyDescent="0.25">
      <c r="B16" s="64">
        <v>0</v>
      </c>
      <c r="C16" s="1" t="s">
        <v>1</v>
      </c>
    </row>
    <row r="17" spans="1:3" hidden="1" x14ac:dyDescent="0.25"/>
    <row r="18" spans="1:3" ht="15" hidden="1" customHeight="1" x14ac:dyDescent="0.25">
      <c r="A18" s="2" t="s">
        <v>9</v>
      </c>
      <c r="B18" s="62" t="s">
        <v>109</v>
      </c>
      <c r="C18" s="62"/>
    </row>
    <row r="19" spans="1:3" ht="15" hidden="1" customHeight="1" x14ac:dyDescent="0.25">
      <c r="A19" s="15" t="s">
        <v>2</v>
      </c>
      <c r="B19" s="125" t="s">
        <v>149</v>
      </c>
      <c r="C19" s="15"/>
    </row>
    <row r="20" spans="1:3" ht="15" hidden="1" customHeight="1" x14ac:dyDescent="0.25">
      <c r="A20" s="15"/>
      <c r="B20" s="13">
        <f>B2+IF(B4="y",VLOOKUP(B1,tables!H:L,5,FALSE)/B3)</f>
        <v>2500</v>
      </c>
      <c r="C20" s="9" t="s">
        <v>104</v>
      </c>
    </row>
    <row r="21" spans="1:3" ht="15" hidden="1" customHeight="1" x14ac:dyDescent="0.25">
      <c r="A21" s="8"/>
      <c r="B21" s="14">
        <f>+B3</f>
        <v>24</v>
      </c>
      <c r="C21" s="9" t="s">
        <v>103</v>
      </c>
    </row>
    <row r="22" spans="1:3" ht="15" hidden="1" customHeight="1" x14ac:dyDescent="0.25">
      <c r="A22" s="8"/>
      <c r="B22" s="12">
        <f>+B20*B21</f>
        <v>60000</v>
      </c>
      <c r="C22" s="9" t="s">
        <v>106</v>
      </c>
    </row>
    <row r="23" spans="1:3" ht="15" hidden="1" customHeight="1" x14ac:dyDescent="0.25">
      <c r="A23" s="8" t="s">
        <v>102</v>
      </c>
      <c r="B23" s="12">
        <f>+B9</f>
        <v>0</v>
      </c>
      <c r="C23" s="9" t="s">
        <v>107</v>
      </c>
    </row>
    <row r="24" spans="1:3" ht="15" hidden="1" customHeight="1" x14ac:dyDescent="0.25">
      <c r="A24" s="8" t="s">
        <v>102</v>
      </c>
      <c r="B24" s="12">
        <f>+B22+B23</f>
        <v>60000</v>
      </c>
      <c r="C24" s="9" t="s">
        <v>108</v>
      </c>
    </row>
    <row r="25" spans="1:3" ht="15" hidden="1" customHeight="1" x14ac:dyDescent="0.25">
      <c r="A25" s="8" t="s">
        <v>102</v>
      </c>
      <c r="B25" s="12">
        <f>+B10</f>
        <v>0</v>
      </c>
      <c r="C25" s="9" t="s">
        <v>105</v>
      </c>
    </row>
    <row r="26" spans="1:3" ht="15" hidden="1" customHeight="1" x14ac:dyDescent="0.25">
      <c r="A26" s="8" t="s">
        <v>102</v>
      </c>
      <c r="B26" s="121">
        <f>IF(B7="y",0,IF(B6="m",12900,8600))</f>
        <v>0</v>
      </c>
      <c r="C26" s="9" t="s">
        <v>110</v>
      </c>
    </row>
    <row r="27" spans="1:3" ht="15" hidden="1" customHeight="1" x14ac:dyDescent="0.25">
      <c r="A27" s="8" t="s">
        <v>102</v>
      </c>
      <c r="B27" s="122">
        <f>+B25+B26</f>
        <v>0</v>
      </c>
      <c r="C27" s="9" t="s">
        <v>111</v>
      </c>
    </row>
    <row r="28" spans="1:3" ht="15" hidden="1" customHeight="1" x14ac:dyDescent="0.25">
      <c r="A28" s="8" t="s">
        <v>102</v>
      </c>
      <c r="B28" s="122">
        <f>IF((B24-B27)&gt;0,B24-B27,0)</f>
        <v>60000</v>
      </c>
      <c r="C28" s="9" t="s">
        <v>112</v>
      </c>
    </row>
    <row r="29" spans="1:3" ht="15" hidden="1" customHeight="1" x14ac:dyDescent="0.25">
      <c r="A29" s="50" t="s">
        <v>6</v>
      </c>
      <c r="B29" s="1">
        <f>+B15</f>
        <v>0</v>
      </c>
      <c r="C29" s="1" t="s">
        <v>113</v>
      </c>
    </row>
    <row r="30" spans="1:3" ht="15" hidden="1" customHeight="1" x14ac:dyDescent="0.25">
      <c r="A30" s="50" t="s">
        <v>6</v>
      </c>
      <c r="B30" s="3">
        <f>+B29*4300</f>
        <v>0</v>
      </c>
      <c r="C30" s="1" t="s">
        <v>114</v>
      </c>
    </row>
    <row r="31" spans="1:3" ht="15" hidden="1" customHeight="1" x14ac:dyDescent="0.25">
      <c r="A31" s="50" t="s">
        <v>6</v>
      </c>
      <c r="B31" s="3">
        <f>IF((B22-B30)&gt;0,B22-B30,0)</f>
        <v>60000</v>
      </c>
      <c r="C31" s="1" t="s">
        <v>115</v>
      </c>
    </row>
    <row r="32" spans="1:3" ht="15" hidden="1" customHeight="1" x14ac:dyDescent="0.25"/>
    <row r="33" spans="1:4" ht="15" hidden="1" customHeight="1" x14ac:dyDescent="0.25">
      <c r="A33" s="4" t="s">
        <v>3</v>
      </c>
      <c r="B33" s="124" t="s">
        <v>124</v>
      </c>
    </row>
    <row r="34" spans="1:4" ht="15" hidden="1" customHeight="1" x14ac:dyDescent="0.25">
      <c r="A34" s="4"/>
      <c r="B34" s="16">
        <f>IF(B1=2019,B31,B28)</f>
        <v>60000</v>
      </c>
      <c r="C34" s="1" t="s">
        <v>116</v>
      </c>
    </row>
    <row r="35" spans="1:4" ht="15" hidden="1" customHeight="1" x14ac:dyDescent="0.25">
      <c r="B35" s="7">
        <f ca="1">IF(B1=2019,VLOOKUP(B34,INDIRECT(B14&amp;"n"),1,TRUE),VLOOKUP(B34,INDIRECT(B6&amp;B7),1,TRUE))</f>
        <v>26925</v>
      </c>
      <c r="C35" s="1" t="s">
        <v>117</v>
      </c>
      <c r="D35" s="58"/>
    </row>
    <row r="36" spans="1:4" ht="15" hidden="1" customHeight="1" x14ac:dyDescent="0.25">
      <c r="B36" s="7">
        <f ca="1">IF(B1=2019,VLOOKUP(B34,INDIRECT(B14&amp;"n"),3,TRUE),VLOOKUP(B34,INDIRECT(B6&amp;B7),3,TRUE))</f>
        <v>1192.5</v>
      </c>
      <c r="C36" s="1" t="s">
        <v>118</v>
      </c>
    </row>
    <row r="37" spans="1:4" ht="15" hidden="1" customHeight="1" x14ac:dyDescent="0.25">
      <c r="B37" s="5">
        <f ca="1">IF(B1=2019,VLOOKUP(B34,INDIRECT(B14&amp;"n"),4,TRUE),VLOOKUP(B34,INDIRECT(B6&amp;B7),4,TRUE))</f>
        <v>0.12</v>
      </c>
      <c r="C37" s="1" t="s">
        <v>119</v>
      </c>
    </row>
    <row r="38" spans="1:4" ht="15" hidden="1" customHeight="1" x14ac:dyDescent="0.25">
      <c r="B38" s="3">
        <f ca="1">+B34-B35</f>
        <v>33075</v>
      </c>
      <c r="C38" s="1" t="s">
        <v>120</v>
      </c>
    </row>
    <row r="39" spans="1:4" ht="15" hidden="1" customHeight="1" x14ac:dyDescent="0.25">
      <c r="B39" s="3">
        <f ca="1">+B37*B38</f>
        <v>3969</v>
      </c>
      <c r="C39" s="1" t="s">
        <v>121</v>
      </c>
    </row>
    <row r="40" spans="1:4" ht="15" hidden="1" customHeight="1" x14ac:dyDescent="0.25">
      <c r="B40" s="3">
        <f ca="1">+B36+B39</f>
        <v>5161.5</v>
      </c>
      <c r="C40" s="1" t="s">
        <v>122</v>
      </c>
    </row>
    <row r="41" spans="1:4" ht="15" hidden="1" customHeight="1" x14ac:dyDescent="0.25">
      <c r="B41" s="6">
        <f ca="1">+B40/B21</f>
        <v>215.0625</v>
      </c>
      <c r="C41" s="1" t="s">
        <v>123</v>
      </c>
    </row>
    <row r="42" spans="1:4" ht="15" hidden="1" customHeight="1" x14ac:dyDescent="0.25">
      <c r="B42" s="6"/>
    </row>
    <row r="43" spans="1:4" ht="15" hidden="1" customHeight="1" x14ac:dyDescent="0.25">
      <c r="A43" s="4" t="s">
        <v>8</v>
      </c>
      <c r="B43" s="124" t="s">
        <v>125</v>
      </c>
    </row>
    <row r="44" spans="1:4" ht="15" hidden="1" customHeight="1" x14ac:dyDescent="0.25">
      <c r="A44" s="4"/>
      <c r="B44" s="3">
        <f>IF(B1=2019,0,B8)</f>
        <v>0</v>
      </c>
      <c r="C44" s="1" t="s">
        <v>126</v>
      </c>
    </row>
    <row r="45" spans="1:4" ht="15" hidden="1" customHeight="1" x14ac:dyDescent="0.25">
      <c r="B45" s="6">
        <f>+B44/B21</f>
        <v>0</v>
      </c>
      <c r="C45" s="1" t="s">
        <v>127</v>
      </c>
    </row>
    <row r="46" spans="1:4" ht="15" hidden="1" customHeight="1" x14ac:dyDescent="0.25">
      <c r="B46" s="6">
        <f ca="1">IF((B41-B45)&gt;0,B41-B45,0)</f>
        <v>215.0625</v>
      </c>
      <c r="C46" s="1" t="s">
        <v>128</v>
      </c>
    </row>
    <row r="47" spans="1:4" ht="15" hidden="1" customHeight="1" x14ac:dyDescent="0.25"/>
    <row r="48" spans="1:4" ht="15" hidden="1" customHeight="1" x14ac:dyDescent="0.25">
      <c r="A48" s="4" t="s">
        <v>7</v>
      </c>
      <c r="B48" s="124" t="s">
        <v>129</v>
      </c>
    </row>
    <row r="49" spans="1:3" ht="15" hidden="1" customHeight="1" x14ac:dyDescent="0.25">
      <c r="B49" s="6">
        <f>IF(B1=2019,B16,B11)</f>
        <v>0</v>
      </c>
      <c r="C49" s="1" t="s">
        <v>130</v>
      </c>
    </row>
    <row r="50" spans="1:3" hidden="1" x14ac:dyDescent="0.25">
      <c r="B50" s="126" t="s">
        <v>133</v>
      </c>
      <c r="C50" s="1" t="s">
        <v>131</v>
      </c>
    </row>
    <row r="51" spans="1:3" hidden="1" x14ac:dyDescent="0.25">
      <c r="B51" s="126" t="s">
        <v>134</v>
      </c>
      <c r="C51" s="1" t="s">
        <v>132</v>
      </c>
    </row>
    <row r="52" spans="1:3" ht="13.5" thickTop="1" x14ac:dyDescent="0.25"/>
    <row r="53" spans="1:3" x14ac:dyDescent="0.25">
      <c r="A53" s="129" t="s">
        <v>153</v>
      </c>
      <c r="B53" s="128">
        <v>577.14</v>
      </c>
      <c r="C53" s="127" t="s">
        <v>150</v>
      </c>
    </row>
    <row r="54" spans="1:3" x14ac:dyDescent="0.25">
      <c r="A54" s="127"/>
      <c r="B54" s="128">
        <v>1154.22</v>
      </c>
      <c r="C54" s="127" t="s">
        <v>151</v>
      </c>
    </row>
    <row r="55" spans="1:3" x14ac:dyDescent="0.25">
      <c r="A55" s="127"/>
      <c r="B55" s="128">
        <v>867.72</v>
      </c>
      <c r="C55" s="127" t="s">
        <v>152</v>
      </c>
    </row>
  </sheetData>
  <sheetProtection sheet="1" selectLockedCells="1"/>
  <conditionalFormatting sqref="A29:C31">
    <cfRule type="expression" dxfId="2" priority="3">
      <formula>$B$1=2019</formula>
    </cfRule>
  </conditionalFormatting>
  <conditionalFormatting sqref="B28">
    <cfRule type="expression" dxfId="1" priority="2">
      <formula>$B$1=2020</formula>
    </cfRule>
  </conditionalFormatting>
  <conditionalFormatting sqref="B31">
    <cfRule type="expression" dxfId="0" priority="1">
      <formula>$B$1=2019</formula>
    </cfRule>
  </conditionalFormatting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workbookViewId="0">
      <selection activeCell="D71" sqref="D71"/>
    </sheetView>
  </sheetViews>
  <sheetFormatPr defaultRowHeight="17.5" x14ac:dyDescent="0.35"/>
  <cols>
    <col min="1" max="1" width="7.33203125" style="49" customWidth="1"/>
    <col min="2" max="2" width="9.6640625" bestFit="1" customWidth="1"/>
    <col min="4" max="4" width="10.58203125" customWidth="1"/>
    <col min="7" max="7" width="5.58203125" customWidth="1"/>
    <col min="8" max="9" width="9.75" bestFit="1" customWidth="1"/>
    <col min="10" max="11" width="9.75" customWidth="1"/>
    <col min="12" max="12" width="13" bestFit="1" customWidth="1"/>
  </cols>
  <sheetData>
    <row r="1" spans="1:13" x14ac:dyDescent="0.35">
      <c r="A1" s="48" t="s">
        <v>36</v>
      </c>
      <c r="B1" s="47" t="s">
        <v>154</v>
      </c>
      <c r="C1" s="46"/>
      <c r="D1" s="46"/>
      <c r="E1" s="46"/>
      <c r="F1" s="46"/>
      <c r="G1" s="46"/>
      <c r="H1" s="53" t="s">
        <v>37</v>
      </c>
      <c r="I1" s="54"/>
      <c r="J1" s="54"/>
      <c r="K1" s="60"/>
      <c r="L1" s="46"/>
      <c r="M1" s="46"/>
    </row>
    <row r="2" spans="1:13" x14ac:dyDescent="0.35">
      <c r="B2" s="17" t="s">
        <v>12</v>
      </c>
      <c r="C2" s="18"/>
      <c r="D2" s="18"/>
      <c r="E2" s="18"/>
      <c r="F2" s="19"/>
      <c r="G2" s="20"/>
      <c r="H2" s="59" t="s">
        <v>40</v>
      </c>
      <c r="I2" s="59" t="s">
        <v>38</v>
      </c>
      <c r="J2" s="59" t="s">
        <v>39</v>
      </c>
      <c r="K2" s="59" t="s">
        <v>42</v>
      </c>
      <c r="L2" s="59" t="s">
        <v>41</v>
      </c>
    </row>
    <row r="3" spans="1:13" ht="40" customHeight="1" x14ac:dyDescent="0.35">
      <c r="B3" s="134" t="s">
        <v>14</v>
      </c>
      <c r="C3" s="135"/>
      <c r="D3" s="135"/>
      <c r="E3" s="135"/>
      <c r="F3" s="136"/>
      <c r="G3" s="20"/>
      <c r="H3" s="52">
        <v>2020</v>
      </c>
      <c r="I3" s="51">
        <f t="shared" ref="I3:I8" si="0">+L3/16</f>
        <v>809.375</v>
      </c>
      <c r="J3" s="51">
        <f t="shared" ref="J3:J8" si="1">+L3/24</f>
        <v>539.58333333333337</v>
      </c>
      <c r="K3" s="51">
        <f t="shared" ref="K3:K8" si="2">+L3/26</f>
        <v>498.07692307692309</v>
      </c>
      <c r="L3" s="123">
        <v>12950</v>
      </c>
    </row>
    <row r="4" spans="1:13" ht="25" customHeight="1" x14ac:dyDescent="0.35">
      <c r="B4" s="130" t="s">
        <v>16</v>
      </c>
      <c r="C4" s="131"/>
      <c r="D4" s="132" t="s">
        <v>17</v>
      </c>
      <c r="E4" s="132" t="s">
        <v>18</v>
      </c>
      <c r="F4" s="133" t="s">
        <v>19</v>
      </c>
      <c r="G4" s="20"/>
      <c r="H4" s="52">
        <v>2021</v>
      </c>
      <c r="I4" s="51">
        <f t="shared" si="0"/>
        <v>809.375</v>
      </c>
      <c r="J4" s="51">
        <f t="shared" si="1"/>
        <v>539.58333333333337</v>
      </c>
      <c r="K4" s="51">
        <f t="shared" si="2"/>
        <v>498.07692307692309</v>
      </c>
      <c r="L4" s="123">
        <v>12950</v>
      </c>
    </row>
    <row r="5" spans="1:13" ht="26" x14ac:dyDescent="0.35">
      <c r="B5" s="24" t="s">
        <v>20</v>
      </c>
      <c r="C5" s="25" t="s">
        <v>21</v>
      </c>
      <c r="D5" s="132"/>
      <c r="E5" s="132"/>
      <c r="F5" s="133"/>
      <c r="G5" s="20"/>
      <c r="H5" s="52">
        <v>2022</v>
      </c>
      <c r="I5" s="51">
        <f t="shared" si="0"/>
        <v>809.375</v>
      </c>
      <c r="J5" s="51">
        <f t="shared" si="1"/>
        <v>539.58333333333337</v>
      </c>
      <c r="K5" s="51">
        <f t="shared" si="2"/>
        <v>498.07692307692309</v>
      </c>
      <c r="L5" s="123">
        <v>12950</v>
      </c>
    </row>
    <row r="6" spans="1:13" x14ac:dyDescent="0.35">
      <c r="B6" s="29" t="s">
        <v>22</v>
      </c>
      <c r="C6" s="30" t="s">
        <v>23</v>
      </c>
      <c r="D6" s="30" t="s">
        <v>24</v>
      </c>
      <c r="E6" s="30" t="s">
        <v>25</v>
      </c>
      <c r="F6" s="31" t="s">
        <v>26</v>
      </c>
      <c r="G6" s="20"/>
      <c r="H6" s="52">
        <v>2023</v>
      </c>
      <c r="I6" s="51">
        <f t="shared" si="0"/>
        <v>865.625</v>
      </c>
      <c r="J6" s="51">
        <f t="shared" si="1"/>
        <v>577.08333333333337</v>
      </c>
      <c r="K6" s="51">
        <f t="shared" si="2"/>
        <v>532.69230769230774</v>
      </c>
      <c r="L6" s="123">
        <v>13850</v>
      </c>
    </row>
    <row r="7" spans="1:13" x14ac:dyDescent="0.35">
      <c r="B7" s="32" t="s">
        <v>27</v>
      </c>
      <c r="C7" s="33"/>
      <c r="D7" s="33"/>
      <c r="E7" s="33"/>
      <c r="F7" s="34"/>
      <c r="G7" s="20"/>
      <c r="H7" s="52">
        <v>2024</v>
      </c>
      <c r="I7" s="51">
        <f t="shared" si="0"/>
        <v>912.5</v>
      </c>
      <c r="J7" s="51">
        <f t="shared" si="1"/>
        <v>608.33333333333337</v>
      </c>
      <c r="K7" s="51">
        <f t="shared" si="2"/>
        <v>561.53846153846155</v>
      </c>
      <c r="L7" s="123">
        <v>14600</v>
      </c>
    </row>
    <row r="8" spans="1:13" x14ac:dyDescent="0.35">
      <c r="A8" s="49" t="s">
        <v>30</v>
      </c>
      <c r="B8" s="35">
        <v>0</v>
      </c>
      <c r="C8" s="36">
        <v>17100</v>
      </c>
      <c r="D8" s="37">
        <v>0</v>
      </c>
      <c r="E8" s="38">
        <v>0</v>
      </c>
      <c r="F8" s="39">
        <f t="shared" ref="F8:F15" si="3">+B8</f>
        <v>0</v>
      </c>
      <c r="G8" s="20"/>
      <c r="H8" s="52">
        <v>2025</v>
      </c>
      <c r="I8" s="51">
        <f t="shared" si="0"/>
        <v>937.5</v>
      </c>
      <c r="J8" s="51">
        <f t="shared" si="1"/>
        <v>625</v>
      </c>
      <c r="K8" s="51">
        <f t="shared" si="2"/>
        <v>576.92307692307691</v>
      </c>
      <c r="L8" s="123">
        <v>15000</v>
      </c>
    </row>
    <row r="9" spans="1:13" x14ac:dyDescent="0.35">
      <c r="B9" s="35">
        <v>17100</v>
      </c>
      <c r="C9" s="36">
        <v>40950</v>
      </c>
      <c r="D9" s="37">
        <v>0</v>
      </c>
      <c r="E9" s="40">
        <v>0.1</v>
      </c>
      <c r="F9" s="39">
        <f t="shared" si="3"/>
        <v>17100</v>
      </c>
      <c r="G9" s="20"/>
      <c r="H9" t="b">
        <f>B9=C8</f>
        <v>1</v>
      </c>
    </row>
    <row r="10" spans="1:13" x14ac:dyDescent="0.35">
      <c r="B10" s="35">
        <v>40950</v>
      </c>
      <c r="C10" s="36">
        <v>114050</v>
      </c>
      <c r="D10" s="37">
        <v>2385</v>
      </c>
      <c r="E10" s="40">
        <v>0.12</v>
      </c>
      <c r="F10" s="39">
        <f t="shared" si="3"/>
        <v>40950</v>
      </c>
      <c r="G10" s="20"/>
      <c r="H10" t="b">
        <f>B10=C9</f>
        <v>1</v>
      </c>
    </row>
    <row r="11" spans="1:13" x14ac:dyDescent="0.35">
      <c r="B11" s="35">
        <v>114050</v>
      </c>
      <c r="C11" s="36">
        <v>223800</v>
      </c>
      <c r="D11" s="37">
        <v>11157</v>
      </c>
      <c r="E11" s="40">
        <v>0.22</v>
      </c>
      <c r="F11" s="39">
        <f t="shared" si="3"/>
        <v>114050</v>
      </c>
      <c r="G11" s="20"/>
      <c r="H11" t="b">
        <f>B11=C10</f>
        <v>1</v>
      </c>
    </row>
    <row r="12" spans="1:13" x14ac:dyDescent="0.35">
      <c r="B12" s="35">
        <v>223800</v>
      </c>
      <c r="C12" s="36">
        <v>411700</v>
      </c>
      <c r="D12" s="37">
        <v>35302</v>
      </c>
      <c r="E12" s="40">
        <v>0.24</v>
      </c>
      <c r="F12" s="39">
        <f t="shared" si="3"/>
        <v>223800</v>
      </c>
      <c r="G12" s="20"/>
      <c r="H12" t="b">
        <v>1</v>
      </c>
    </row>
    <row r="13" spans="1:13" x14ac:dyDescent="0.35">
      <c r="B13" s="35">
        <v>411700</v>
      </c>
      <c r="C13" s="36">
        <v>518150</v>
      </c>
      <c r="D13" s="37">
        <v>80398</v>
      </c>
      <c r="E13" s="40">
        <v>0.32</v>
      </c>
      <c r="F13" s="39">
        <f t="shared" si="3"/>
        <v>411700</v>
      </c>
      <c r="G13" s="20"/>
      <c r="H13" t="b">
        <f>B13=C12</f>
        <v>1</v>
      </c>
    </row>
    <row r="14" spans="1:13" x14ac:dyDescent="0.35">
      <c r="B14" s="35">
        <v>518150</v>
      </c>
      <c r="C14" s="36">
        <v>768700</v>
      </c>
      <c r="D14" s="37">
        <v>114462</v>
      </c>
      <c r="E14" s="40">
        <v>0.35</v>
      </c>
      <c r="F14" s="39">
        <f t="shared" si="3"/>
        <v>518150</v>
      </c>
      <c r="G14" s="20"/>
      <c r="H14" t="b">
        <f>B14=C13</f>
        <v>1</v>
      </c>
    </row>
    <row r="15" spans="1:13" x14ac:dyDescent="0.35">
      <c r="B15" s="35">
        <v>768700</v>
      </c>
      <c r="C15" s="36"/>
      <c r="D15" s="37">
        <v>202154.5</v>
      </c>
      <c r="E15" s="40">
        <v>0.37</v>
      </c>
      <c r="F15" s="39">
        <f t="shared" si="3"/>
        <v>768700</v>
      </c>
      <c r="G15" s="20"/>
      <c r="H15" t="b">
        <f>B15=C14</f>
        <v>1</v>
      </c>
    </row>
    <row r="16" spans="1:13" x14ac:dyDescent="0.35">
      <c r="B16" s="26"/>
      <c r="C16" s="27"/>
      <c r="D16" s="27"/>
      <c r="E16" s="27"/>
      <c r="F16" s="28"/>
      <c r="G16" s="20"/>
    </row>
    <row r="17" spans="1:8" x14ac:dyDescent="0.35">
      <c r="B17" s="32" t="s">
        <v>28</v>
      </c>
      <c r="C17" s="33"/>
      <c r="D17" s="33"/>
      <c r="E17" s="33"/>
      <c r="F17" s="34"/>
      <c r="G17" s="20"/>
    </row>
    <row r="18" spans="1:8" x14ac:dyDescent="0.35">
      <c r="A18" s="49" t="s">
        <v>31</v>
      </c>
      <c r="B18" s="35">
        <v>0</v>
      </c>
      <c r="C18" s="36">
        <v>6400</v>
      </c>
      <c r="D18" s="37">
        <v>0</v>
      </c>
      <c r="E18" s="38">
        <v>0</v>
      </c>
      <c r="F18" s="39">
        <f t="shared" ref="F18:F25" si="4">+B18</f>
        <v>0</v>
      </c>
      <c r="G18" s="20"/>
    </row>
    <row r="19" spans="1:8" x14ac:dyDescent="0.35">
      <c r="B19" s="35">
        <v>6400</v>
      </c>
      <c r="C19" s="36">
        <v>18325</v>
      </c>
      <c r="D19" s="37">
        <v>0</v>
      </c>
      <c r="E19" s="40">
        <v>0.1</v>
      </c>
      <c r="F19" s="39">
        <f t="shared" si="4"/>
        <v>6400</v>
      </c>
      <c r="G19" s="20"/>
      <c r="H19" t="b">
        <f>B19=C18</f>
        <v>1</v>
      </c>
    </row>
    <row r="20" spans="1:8" x14ac:dyDescent="0.35">
      <c r="B20" s="35">
        <v>18325</v>
      </c>
      <c r="C20" s="36">
        <v>54875</v>
      </c>
      <c r="D20" s="37">
        <v>1192.5</v>
      </c>
      <c r="E20" s="40">
        <v>0.12</v>
      </c>
      <c r="F20" s="39">
        <f t="shared" si="4"/>
        <v>18325</v>
      </c>
      <c r="G20" s="20"/>
      <c r="H20" t="b">
        <f>B20=C19</f>
        <v>1</v>
      </c>
    </row>
    <row r="21" spans="1:8" x14ac:dyDescent="0.35">
      <c r="B21" s="35">
        <v>54875</v>
      </c>
      <c r="C21" s="36">
        <v>109750</v>
      </c>
      <c r="D21" s="37">
        <v>5578.5</v>
      </c>
      <c r="E21" s="40">
        <v>0.22</v>
      </c>
      <c r="F21" s="39">
        <f t="shared" si="4"/>
        <v>54875</v>
      </c>
      <c r="G21" s="20"/>
      <c r="H21" t="b">
        <f>B21=C20</f>
        <v>1</v>
      </c>
    </row>
    <row r="22" spans="1:8" x14ac:dyDescent="0.35">
      <c r="B22" s="35">
        <v>109750</v>
      </c>
      <c r="C22" s="36">
        <v>203700</v>
      </c>
      <c r="D22" s="37">
        <v>17651</v>
      </c>
      <c r="E22" s="40">
        <v>0.24</v>
      </c>
      <c r="F22" s="39">
        <f t="shared" si="4"/>
        <v>109750</v>
      </c>
      <c r="G22" s="20"/>
      <c r="H22" t="b">
        <v>1</v>
      </c>
    </row>
    <row r="23" spans="1:8" x14ac:dyDescent="0.35">
      <c r="B23" s="35">
        <v>203700</v>
      </c>
      <c r="C23" s="36">
        <v>256925</v>
      </c>
      <c r="D23" s="37">
        <v>40199</v>
      </c>
      <c r="E23" s="40">
        <v>0.32</v>
      </c>
      <c r="F23" s="39">
        <f t="shared" si="4"/>
        <v>203700</v>
      </c>
      <c r="G23" s="20"/>
      <c r="H23" t="b">
        <f>B23=C22</f>
        <v>1</v>
      </c>
    </row>
    <row r="24" spans="1:8" x14ac:dyDescent="0.35">
      <c r="B24" s="35">
        <v>256925</v>
      </c>
      <c r="C24" s="36">
        <v>632750</v>
      </c>
      <c r="D24" s="37">
        <v>57231</v>
      </c>
      <c r="E24" s="40">
        <v>0.35</v>
      </c>
      <c r="F24" s="39">
        <f t="shared" si="4"/>
        <v>256925</v>
      </c>
      <c r="G24" s="20"/>
      <c r="H24" t="b">
        <f>B24=C23</f>
        <v>1</v>
      </c>
    </row>
    <row r="25" spans="1:8" x14ac:dyDescent="0.35">
      <c r="B25" s="35">
        <v>632750</v>
      </c>
      <c r="C25" s="36"/>
      <c r="D25" s="37">
        <v>188769.75</v>
      </c>
      <c r="E25" s="40">
        <v>0.37</v>
      </c>
      <c r="F25" s="39">
        <f t="shared" si="4"/>
        <v>632750</v>
      </c>
      <c r="G25" s="20"/>
      <c r="H25" t="b">
        <f>B25=C24</f>
        <v>1</v>
      </c>
    </row>
    <row r="26" spans="1:8" x14ac:dyDescent="0.35">
      <c r="B26" s="26"/>
      <c r="C26" s="27"/>
      <c r="D26" s="27"/>
      <c r="E26" s="27"/>
      <c r="F26" s="28"/>
      <c r="G26" s="20"/>
    </row>
    <row r="27" spans="1:8" x14ac:dyDescent="0.35">
      <c r="B27" s="32" t="s">
        <v>29</v>
      </c>
      <c r="C27" s="33"/>
      <c r="D27" s="33"/>
      <c r="E27" s="33"/>
      <c r="F27" s="34"/>
      <c r="G27" s="20"/>
    </row>
    <row r="28" spans="1:8" x14ac:dyDescent="0.35">
      <c r="A28" s="49" t="s">
        <v>32</v>
      </c>
      <c r="B28" s="35">
        <v>0</v>
      </c>
      <c r="C28" s="36">
        <v>13900</v>
      </c>
      <c r="D28" s="37">
        <v>0</v>
      </c>
      <c r="E28" s="38">
        <v>0</v>
      </c>
      <c r="F28" s="39">
        <f t="shared" ref="F28:F34" si="5">+B28</f>
        <v>0</v>
      </c>
      <c r="G28" s="20"/>
    </row>
    <row r="29" spans="1:8" x14ac:dyDescent="0.35">
      <c r="B29" s="35">
        <v>13900</v>
      </c>
      <c r="C29" s="36">
        <v>30900</v>
      </c>
      <c r="D29" s="37">
        <v>0</v>
      </c>
      <c r="E29" s="40">
        <v>0.1</v>
      </c>
      <c r="F29" s="39">
        <f t="shared" si="5"/>
        <v>13900</v>
      </c>
      <c r="G29" s="20"/>
      <c r="H29" t="b">
        <f>B29=C28</f>
        <v>1</v>
      </c>
    </row>
    <row r="30" spans="1:8" x14ac:dyDescent="0.35">
      <c r="B30" s="35">
        <v>30900</v>
      </c>
      <c r="C30" s="36">
        <v>78750</v>
      </c>
      <c r="D30" s="37">
        <v>1700</v>
      </c>
      <c r="E30" s="40">
        <v>0.12</v>
      </c>
      <c r="F30" s="39">
        <f t="shared" si="5"/>
        <v>30900</v>
      </c>
      <c r="G30" s="20"/>
      <c r="H30" t="b">
        <f>B30=C29</f>
        <v>1</v>
      </c>
    </row>
    <row r="31" spans="1:8" x14ac:dyDescent="0.35">
      <c r="B31" s="35">
        <v>78750</v>
      </c>
      <c r="C31" s="36">
        <v>117250</v>
      </c>
      <c r="D31" s="37">
        <v>7442</v>
      </c>
      <c r="E31" s="40">
        <v>0.22</v>
      </c>
      <c r="F31" s="39">
        <f t="shared" si="5"/>
        <v>78750</v>
      </c>
      <c r="G31" s="20"/>
      <c r="H31" t="b">
        <f>B31=C30</f>
        <v>1</v>
      </c>
    </row>
    <row r="32" spans="1:8" x14ac:dyDescent="0.35">
      <c r="B32" s="35">
        <v>117250</v>
      </c>
      <c r="C32" s="36">
        <v>211200</v>
      </c>
      <c r="D32" s="37">
        <v>15912</v>
      </c>
      <c r="E32" s="40">
        <v>0.24</v>
      </c>
      <c r="F32" s="39">
        <f t="shared" si="5"/>
        <v>117250</v>
      </c>
      <c r="G32" s="20"/>
      <c r="H32" t="b">
        <v>1</v>
      </c>
    </row>
    <row r="33" spans="1:8" x14ac:dyDescent="0.35">
      <c r="B33" s="35">
        <v>211200</v>
      </c>
      <c r="C33" s="36">
        <v>264400</v>
      </c>
      <c r="D33" s="37">
        <v>38460</v>
      </c>
      <c r="E33" s="40">
        <v>0.32</v>
      </c>
      <c r="F33" s="39">
        <f t="shared" si="5"/>
        <v>211200</v>
      </c>
      <c r="G33" s="20"/>
      <c r="H33" t="b">
        <f>B33=C32</f>
        <v>1</v>
      </c>
    </row>
    <row r="34" spans="1:8" x14ac:dyDescent="0.35">
      <c r="B34" s="35">
        <v>264400</v>
      </c>
      <c r="C34" s="36">
        <v>640250</v>
      </c>
      <c r="D34" s="37">
        <v>55484</v>
      </c>
      <c r="E34" s="40">
        <v>0.35</v>
      </c>
      <c r="F34" s="39">
        <f t="shared" si="5"/>
        <v>264400</v>
      </c>
      <c r="G34" s="20"/>
      <c r="H34" t="b">
        <f>B34=C33</f>
        <v>1</v>
      </c>
    </row>
    <row r="35" spans="1:8" x14ac:dyDescent="0.35">
      <c r="B35" s="41">
        <v>640250</v>
      </c>
      <c r="C35" s="42"/>
      <c r="D35" s="43">
        <v>187031.5</v>
      </c>
      <c r="E35" s="44">
        <v>0.37</v>
      </c>
      <c r="F35" s="45">
        <f>+B35</f>
        <v>640250</v>
      </c>
      <c r="G35" s="20"/>
      <c r="H35" t="b">
        <f>B35=C34</f>
        <v>1</v>
      </c>
    </row>
    <row r="37" spans="1:8" x14ac:dyDescent="0.35">
      <c r="B37" s="21" t="s">
        <v>13</v>
      </c>
      <c r="C37" s="22"/>
      <c r="D37" s="22"/>
      <c r="E37" s="22"/>
      <c r="F37" s="23"/>
    </row>
    <row r="38" spans="1:8" ht="30.75" customHeight="1" x14ac:dyDescent="0.35">
      <c r="B38" s="137" t="s">
        <v>15</v>
      </c>
      <c r="C38" s="138"/>
      <c r="D38" s="138"/>
      <c r="E38" s="138"/>
      <c r="F38" s="139"/>
    </row>
    <row r="39" spans="1:8" ht="25" customHeight="1" x14ac:dyDescent="0.35">
      <c r="B39" s="130" t="s">
        <v>16</v>
      </c>
      <c r="C39" s="131"/>
      <c r="D39" s="132" t="s">
        <v>17</v>
      </c>
      <c r="E39" s="132" t="s">
        <v>18</v>
      </c>
      <c r="F39" s="133" t="s">
        <v>19</v>
      </c>
    </row>
    <row r="40" spans="1:8" ht="26" x14ac:dyDescent="0.35">
      <c r="B40" s="24" t="s">
        <v>20</v>
      </c>
      <c r="C40" s="25" t="s">
        <v>21</v>
      </c>
      <c r="D40" s="132"/>
      <c r="E40" s="132"/>
      <c r="F40" s="133"/>
    </row>
    <row r="41" spans="1:8" x14ac:dyDescent="0.35">
      <c r="B41" s="29" t="s">
        <v>22</v>
      </c>
      <c r="C41" s="30" t="s">
        <v>23</v>
      </c>
      <c r="D41" s="30" t="s">
        <v>24</v>
      </c>
      <c r="E41" s="30" t="s">
        <v>25</v>
      </c>
      <c r="F41" s="31" t="s">
        <v>26</v>
      </c>
    </row>
    <row r="42" spans="1:8" x14ac:dyDescent="0.35">
      <c r="B42" s="32" t="s">
        <v>27</v>
      </c>
      <c r="C42" s="33"/>
      <c r="D42" s="33"/>
      <c r="E42" s="33"/>
      <c r="F42" s="34"/>
    </row>
    <row r="43" spans="1:8" x14ac:dyDescent="0.35">
      <c r="A43" s="49" t="s">
        <v>33</v>
      </c>
      <c r="B43" s="35">
        <v>0</v>
      </c>
      <c r="C43" s="36">
        <v>15000</v>
      </c>
      <c r="D43" s="37">
        <v>0</v>
      </c>
      <c r="E43" s="38">
        <v>0</v>
      </c>
      <c r="F43" s="39">
        <f>+B43</f>
        <v>0</v>
      </c>
    </row>
    <row r="44" spans="1:8" x14ac:dyDescent="0.35">
      <c r="B44" s="35">
        <v>15000</v>
      </c>
      <c r="C44" s="36">
        <v>26925</v>
      </c>
      <c r="D44" s="37">
        <v>0</v>
      </c>
      <c r="E44" s="40">
        <v>0.1</v>
      </c>
      <c r="F44" s="39">
        <f t="shared" ref="F44:F50" si="6">+B44</f>
        <v>15000</v>
      </c>
      <c r="H44" t="b">
        <f>B44=C43</f>
        <v>1</v>
      </c>
    </row>
    <row r="45" spans="1:8" x14ac:dyDescent="0.35">
      <c r="B45" s="35">
        <v>26925</v>
      </c>
      <c r="C45" s="36">
        <v>63475</v>
      </c>
      <c r="D45" s="37">
        <v>1192.5</v>
      </c>
      <c r="E45" s="40">
        <v>0.12</v>
      </c>
      <c r="F45" s="39">
        <f t="shared" si="6"/>
        <v>26925</v>
      </c>
      <c r="H45" t="b">
        <f>B45=C44</f>
        <v>1</v>
      </c>
    </row>
    <row r="46" spans="1:8" x14ac:dyDescent="0.35">
      <c r="B46" s="35">
        <v>63475</v>
      </c>
      <c r="C46" s="36">
        <v>118350</v>
      </c>
      <c r="D46" s="37">
        <v>5578.5</v>
      </c>
      <c r="E46" s="40">
        <v>0.22</v>
      </c>
      <c r="F46" s="39">
        <f t="shared" si="6"/>
        <v>63475</v>
      </c>
      <c r="H46" t="b">
        <f>B46=C45</f>
        <v>1</v>
      </c>
    </row>
    <row r="47" spans="1:8" x14ac:dyDescent="0.35">
      <c r="B47" s="35">
        <v>118350</v>
      </c>
      <c r="C47" s="36">
        <v>212300</v>
      </c>
      <c r="D47" s="37">
        <v>17651</v>
      </c>
      <c r="E47" s="40">
        <v>0.24</v>
      </c>
      <c r="F47" s="39">
        <f t="shared" si="6"/>
        <v>118350</v>
      </c>
      <c r="H47" t="b">
        <v>1</v>
      </c>
    </row>
    <row r="48" spans="1:8" x14ac:dyDescent="0.35">
      <c r="B48" s="35">
        <v>212300</v>
      </c>
      <c r="C48" s="36">
        <v>265525</v>
      </c>
      <c r="D48" s="37">
        <v>40199</v>
      </c>
      <c r="E48" s="40">
        <v>0.32</v>
      </c>
      <c r="F48" s="39">
        <f t="shared" si="6"/>
        <v>212300</v>
      </c>
      <c r="H48" t="b">
        <f>B48=C47</f>
        <v>1</v>
      </c>
    </row>
    <row r="49" spans="1:8" x14ac:dyDescent="0.35">
      <c r="B49" s="35">
        <v>265525</v>
      </c>
      <c r="C49" s="36">
        <v>390800</v>
      </c>
      <c r="D49" s="37">
        <v>57231</v>
      </c>
      <c r="E49" s="40">
        <v>0.35</v>
      </c>
      <c r="F49" s="39">
        <f t="shared" si="6"/>
        <v>265525</v>
      </c>
      <c r="H49" t="b">
        <f>B49=C48</f>
        <v>1</v>
      </c>
    </row>
    <row r="50" spans="1:8" x14ac:dyDescent="0.35">
      <c r="B50" s="35">
        <v>390800</v>
      </c>
      <c r="C50" s="36"/>
      <c r="D50" s="37">
        <v>101077.25</v>
      </c>
      <c r="E50" s="40">
        <v>0.37</v>
      </c>
      <c r="F50" s="39">
        <f t="shared" si="6"/>
        <v>390800</v>
      </c>
      <c r="H50" t="b">
        <f>B50=C49</f>
        <v>1</v>
      </c>
    </row>
    <row r="51" spans="1:8" x14ac:dyDescent="0.35">
      <c r="B51" s="26"/>
      <c r="C51" s="27"/>
      <c r="D51" s="27"/>
      <c r="E51" s="27"/>
      <c r="F51" s="28"/>
    </row>
    <row r="52" spans="1:8" x14ac:dyDescent="0.35">
      <c r="B52" s="32" t="s">
        <v>28</v>
      </c>
      <c r="C52" s="33"/>
      <c r="D52" s="33"/>
      <c r="E52" s="33"/>
      <c r="F52" s="34"/>
    </row>
    <row r="53" spans="1:8" x14ac:dyDescent="0.35">
      <c r="A53" s="49" t="s">
        <v>34</v>
      </c>
      <c r="B53" s="35">
        <v>0</v>
      </c>
      <c r="C53" s="36">
        <v>7500</v>
      </c>
      <c r="D53" s="37">
        <v>0</v>
      </c>
      <c r="E53" s="38">
        <v>0</v>
      </c>
      <c r="F53" s="39">
        <f t="shared" ref="F53:F60" si="7">+B53</f>
        <v>0</v>
      </c>
    </row>
    <row r="54" spans="1:8" x14ac:dyDescent="0.35">
      <c r="B54" s="35">
        <v>7500</v>
      </c>
      <c r="C54" s="36">
        <v>13463</v>
      </c>
      <c r="D54" s="37">
        <v>0</v>
      </c>
      <c r="E54" s="40">
        <v>0.1</v>
      </c>
      <c r="F54" s="39">
        <f t="shared" si="7"/>
        <v>7500</v>
      </c>
      <c r="H54" t="b">
        <f>B54=C53</f>
        <v>1</v>
      </c>
    </row>
    <row r="55" spans="1:8" x14ac:dyDescent="0.35">
      <c r="B55" s="35">
        <v>13463</v>
      </c>
      <c r="C55" s="36">
        <v>31738</v>
      </c>
      <c r="D55" s="37">
        <v>596.25</v>
      </c>
      <c r="E55" s="40">
        <v>0.12</v>
      </c>
      <c r="F55" s="39">
        <f t="shared" si="7"/>
        <v>13463</v>
      </c>
      <c r="H55" t="b">
        <f>B55=C54</f>
        <v>1</v>
      </c>
    </row>
    <row r="56" spans="1:8" x14ac:dyDescent="0.35">
      <c r="B56" s="35">
        <v>31738</v>
      </c>
      <c r="C56" s="36">
        <v>59175</v>
      </c>
      <c r="D56" s="37">
        <v>2789.25</v>
      </c>
      <c r="E56" s="40">
        <v>0.22</v>
      </c>
      <c r="F56" s="39">
        <f t="shared" si="7"/>
        <v>31738</v>
      </c>
      <c r="H56" t="b">
        <f>B56=C55</f>
        <v>1</v>
      </c>
    </row>
    <row r="57" spans="1:8" x14ac:dyDescent="0.35">
      <c r="B57" s="35">
        <v>59175</v>
      </c>
      <c r="C57" s="36">
        <v>106150</v>
      </c>
      <c r="D57" s="37">
        <v>8825.5</v>
      </c>
      <c r="E57" s="40">
        <v>0.24</v>
      </c>
      <c r="F57" s="39">
        <f t="shared" si="7"/>
        <v>59175</v>
      </c>
      <c r="H57" t="b">
        <v>1</v>
      </c>
    </row>
    <row r="58" spans="1:8" x14ac:dyDescent="0.35">
      <c r="B58" s="35">
        <v>106150</v>
      </c>
      <c r="C58" s="36">
        <v>132763</v>
      </c>
      <c r="D58" s="37">
        <v>20099.5</v>
      </c>
      <c r="E58" s="40">
        <v>0.32</v>
      </c>
      <c r="F58" s="39">
        <f t="shared" si="7"/>
        <v>106150</v>
      </c>
      <c r="H58" t="b">
        <f>B58=C57</f>
        <v>1</v>
      </c>
    </row>
    <row r="59" spans="1:8" x14ac:dyDescent="0.35">
      <c r="B59" s="35">
        <v>132763</v>
      </c>
      <c r="C59" s="36">
        <v>320675</v>
      </c>
      <c r="D59" s="37">
        <v>28615.5</v>
      </c>
      <c r="E59" s="40">
        <v>0.35</v>
      </c>
      <c r="F59" s="39">
        <f t="shared" si="7"/>
        <v>132763</v>
      </c>
      <c r="H59" t="b">
        <f>B59=C58</f>
        <v>1</v>
      </c>
    </row>
    <row r="60" spans="1:8" x14ac:dyDescent="0.35">
      <c r="B60" s="35">
        <v>320675</v>
      </c>
      <c r="C60" s="36"/>
      <c r="D60" s="37">
        <v>94384.88</v>
      </c>
      <c r="E60" s="40">
        <v>0.37</v>
      </c>
      <c r="F60" s="39">
        <f t="shared" si="7"/>
        <v>320675</v>
      </c>
      <c r="H60" t="b">
        <f>B60=C59</f>
        <v>1</v>
      </c>
    </row>
    <row r="61" spans="1:8" x14ac:dyDescent="0.35">
      <c r="B61" s="26"/>
      <c r="C61" s="27"/>
      <c r="D61" s="27"/>
      <c r="E61" s="27"/>
      <c r="F61" s="28"/>
    </row>
    <row r="62" spans="1:8" x14ac:dyDescent="0.35">
      <c r="B62" s="32" t="s">
        <v>29</v>
      </c>
      <c r="C62" s="33"/>
      <c r="D62" s="33"/>
      <c r="E62" s="33"/>
      <c r="F62" s="34"/>
    </row>
    <row r="63" spans="1:8" x14ac:dyDescent="0.35">
      <c r="A63" s="49" t="s">
        <v>35</v>
      </c>
      <c r="B63" s="35">
        <v>0</v>
      </c>
      <c r="C63" s="36">
        <v>11250</v>
      </c>
      <c r="D63" s="37">
        <v>0</v>
      </c>
      <c r="E63" s="38">
        <v>0</v>
      </c>
      <c r="F63" s="39">
        <f t="shared" ref="F63:F69" si="8">+B63</f>
        <v>0</v>
      </c>
    </row>
    <row r="64" spans="1:8" x14ac:dyDescent="0.35">
      <c r="B64" s="35">
        <v>11250</v>
      </c>
      <c r="C64" s="36">
        <v>19750</v>
      </c>
      <c r="D64" s="37">
        <v>0</v>
      </c>
      <c r="E64" s="40">
        <v>0.1</v>
      </c>
      <c r="F64" s="39">
        <f t="shared" si="8"/>
        <v>11250</v>
      </c>
      <c r="H64" t="b">
        <f>B64=C63</f>
        <v>1</v>
      </c>
    </row>
    <row r="65" spans="2:8" x14ac:dyDescent="0.35">
      <c r="B65" s="35">
        <v>19750</v>
      </c>
      <c r="C65" s="36">
        <v>43675</v>
      </c>
      <c r="D65" s="37">
        <v>850</v>
      </c>
      <c r="E65" s="40">
        <v>0.12</v>
      </c>
      <c r="F65" s="39">
        <f t="shared" si="8"/>
        <v>19750</v>
      </c>
      <c r="H65" t="b">
        <f>B65=C64</f>
        <v>1</v>
      </c>
    </row>
    <row r="66" spans="2:8" x14ac:dyDescent="0.35">
      <c r="B66" s="35">
        <v>43675</v>
      </c>
      <c r="C66" s="36">
        <v>62925</v>
      </c>
      <c r="D66" s="37">
        <v>3721</v>
      </c>
      <c r="E66" s="40">
        <v>0.22</v>
      </c>
      <c r="F66" s="39">
        <f t="shared" si="8"/>
        <v>43675</v>
      </c>
      <c r="H66" t="b">
        <f>B66=C65</f>
        <v>1</v>
      </c>
    </row>
    <row r="67" spans="2:8" x14ac:dyDescent="0.35">
      <c r="B67" s="35">
        <v>62925</v>
      </c>
      <c r="C67" s="36">
        <v>109900</v>
      </c>
      <c r="D67" s="37">
        <v>7956</v>
      </c>
      <c r="E67" s="40">
        <v>0.24</v>
      </c>
      <c r="F67" s="39">
        <f t="shared" si="8"/>
        <v>62925</v>
      </c>
      <c r="H67" t="b">
        <v>1</v>
      </c>
    </row>
    <row r="68" spans="2:8" x14ac:dyDescent="0.35">
      <c r="B68" s="35">
        <v>109900</v>
      </c>
      <c r="C68" s="36">
        <v>136500</v>
      </c>
      <c r="D68" s="37">
        <v>19230</v>
      </c>
      <c r="E68" s="40">
        <v>0.32</v>
      </c>
      <c r="F68" s="39">
        <f t="shared" si="8"/>
        <v>109900</v>
      </c>
      <c r="H68" t="b">
        <f>B68=C67</f>
        <v>1</v>
      </c>
    </row>
    <row r="69" spans="2:8" x14ac:dyDescent="0.35">
      <c r="B69" s="35">
        <v>136500</v>
      </c>
      <c r="C69" s="36">
        <v>324425</v>
      </c>
      <c r="D69" s="37">
        <v>27742</v>
      </c>
      <c r="E69" s="40">
        <v>0.35</v>
      </c>
      <c r="F69" s="39">
        <f t="shared" si="8"/>
        <v>136500</v>
      </c>
      <c r="H69" t="b">
        <f>B69=C68</f>
        <v>1</v>
      </c>
    </row>
    <row r="70" spans="2:8" x14ac:dyDescent="0.35">
      <c r="B70" s="41">
        <v>324425</v>
      </c>
      <c r="C70" s="42"/>
      <c r="D70" s="43">
        <v>93515.75</v>
      </c>
      <c r="E70" s="44">
        <v>0.37</v>
      </c>
      <c r="F70" s="45">
        <f>+B70</f>
        <v>324425</v>
      </c>
      <c r="H70" t="b">
        <f>B70=C69</f>
        <v>1</v>
      </c>
    </row>
  </sheetData>
  <mergeCells count="10">
    <mergeCell ref="B39:C39"/>
    <mergeCell ref="D39:D40"/>
    <mergeCell ref="E39:E40"/>
    <mergeCell ref="F39:F40"/>
    <mergeCell ref="B3:F3"/>
    <mergeCell ref="B38:F38"/>
    <mergeCell ref="B4:C4"/>
    <mergeCell ref="D4:D5"/>
    <mergeCell ref="E4:E5"/>
    <mergeCell ref="F4:F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7"/>
  <sheetViews>
    <sheetView workbookViewId="0">
      <selection activeCell="C3" sqref="C3"/>
    </sheetView>
  </sheetViews>
  <sheetFormatPr defaultColWidth="8.75" defaultRowHeight="14.5" x14ac:dyDescent="0.35"/>
  <cols>
    <col min="1" max="1" width="1.08203125" style="68" customWidth="1"/>
    <col min="2" max="2" width="22.75" style="68" customWidth="1"/>
    <col min="3" max="3" width="9" style="68" bestFit="1" customWidth="1"/>
    <col min="4" max="4" width="28.58203125" style="68" customWidth="1"/>
    <col min="5" max="5" width="2.25" style="68" customWidth="1"/>
    <col min="6" max="6" width="5" style="68" bestFit="1" customWidth="1"/>
    <col min="7" max="7" width="19.75" style="68" bestFit="1" customWidth="1"/>
    <col min="8" max="8" width="8.4140625" style="68" customWidth="1"/>
    <col min="9" max="9" width="11.4140625" style="68" customWidth="1"/>
    <col min="10" max="16384" width="8.75" style="68"/>
  </cols>
  <sheetData>
    <row r="1" spans="2:9" ht="18" customHeight="1" x14ac:dyDescent="0.35">
      <c r="B1" s="65" t="s">
        <v>45</v>
      </c>
      <c r="C1" s="66"/>
      <c r="D1" s="66"/>
      <c r="E1" s="66"/>
      <c r="F1" s="67" t="s">
        <v>46</v>
      </c>
    </row>
    <row r="2" spans="2:9" ht="18" customHeight="1" x14ac:dyDescent="0.35">
      <c r="D2" s="69" t="s">
        <v>47</v>
      </c>
      <c r="E2" s="70"/>
      <c r="F2" s="67">
        <v>1</v>
      </c>
    </row>
    <row r="3" spans="2:9" ht="18" customHeight="1" x14ac:dyDescent="0.35">
      <c r="B3" s="71" t="s">
        <v>48</v>
      </c>
      <c r="C3" s="72">
        <v>62250</v>
      </c>
      <c r="D3" s="69" t="s">
        <v>49</v>
      </c>
      <c r="E3" s="70"/>
    </row>
    <row r="4" spans="2:9" ht="18" customHeight="1" x14ac:dyDescent="0.35">
      <c r="B4" s="73" t="s">
        <v>50</v>
      </c>
      <c r="C4" s="74">
        <v>24</v>
      </c>
      <c r="D4" s="69" t="s">
        <v>51</v>
      </c>
      <c r="E4" s="70"/>
    </row>
    <row r="5" spans="2:9" ht="18" customHeight="1" x14ac:dyDescent="0.35">
      <c r="B5" s="75"/>
      <c r="C5" s="76"/>
      <c r="D5" s="69" t="s">
        <v>52</v>
      </c>
      <c r="E5" s="70"/>
    </row>
    <row r="6" spans="2:9" ht="18" customHeight="1" x14ac:dyDescent="0.35">
      <c r="B6" s="77"/>
      <c r="G6" s="113" t="s">
        <v>135</v>
      </c>
    </row>
    <row r="7" spans="2:9" ht="18" customHeight="1" x14ac:dyDescent="0.35">
      <c r="B7" s="78" t="s">
        <v>53</v>
      </c>
      <c r="C7" s="79">
        <f>ROUND(+C3/C4,2)</f>
        <v>2593.75</v>
      </c>
      <c r="D7" s="80" t="s">
        <v>54</v>
      </c>
      <c r="F7" s="81" t="s">
        <v>46</v>
      </c>
      <c r="G7" s="82" t="s">
        <v>55</v>
      </c>
      <c r="H7" s="83" t="s">
        <v>56</v>
      </c>
      <c r="I7" s="80" t="s">
        <v>54</v>
      </c>
    </row>
    <row r="8" spans="2:9" ht="18" customHeight="1" x14ac:dyDescent="0.35">
      <c r="B8" s="84" t="s">
        <v>57</v>
      </c>
      <c r="C8" s="85">
        <f>DSUM(F7:I32,"Amount",F1:F2)</f>
        <v>-81.3</v>
      </c>
      <c r="D8" s="86" t="s">
        <v>98</v>
      </c>
      <c r="F8" s="87"/>
      <c r="G8" s="88" t="s">
        <v>92</v>
      </c>
      <c r="H8" s="89"/>
      <c r="I8" s="90"/>
    </row>
    <row r="9" spans="2:9" ht="18" customHeight="1" x14ac:dyDescent="0.35">
      <c r="B9" s="84" t="s">
        <v>97</v>
      </c>
      <c r="C9" s="85">
        <f>DSUM(F34:I35,"Amount",F1:F2)</f>
        <v>0</v>
      </c>
      <c r="D9" s="86" t="s">
        <v>99</v>
      </c>
      <c r="F9" s="92"/>
      <c r="G9" s="93" t="s">
        <v>59</v>
      </c>
      <c r="H9" s="94">
        <f t="shared" ref="H9:H27" si="0">ROUND(-$C$7*I9,2)</f>
        <v>-32.42</v>
      </c>
      <c r="I9" s="95">
        <v>1.2500000000000001E-2</v>
      </c>
    </row>
    <row r="10" spans="2:9" ht="18" customHeight="1" x14ac:dyDescent="0.35">
      <c r="B10" s="84" t="s">
        <v>58</v>
      </c>
      <c r="C10" s="85">
        <f>ROUND(-C7*D10,2)</f>
        <v>-194.53</v>
      </c>
      <c r="D10" s="91">
        <v>7.4999999999999997E-2</v>
      </c>
      <c r="F10" s="92"/>
      <c r="G10" s="93" t="s">
        <v>62</v>
      </c>
      <c r="H10" s="94">
        <f t="shared" si="0"/>
        <v>-71.33</v>
      </c>
      <c r="I10" s="95">
        <v>2.75E-2</v>
      </c>
    </row>
    <row r="11" spans="2:9" ht="18" customHeight="1" x14ac:dyDescent="0.35">
      <c r="B11" s="84" t="s">
        <v>136</v>
      </c>
      <c r="C11" s="96">
        <v>-240</v>
      </c>
      <c r="D11" s="95" t="s">
        <v>61</v>
      </c>
      <c r="F11" s="92"/>
      <c r="G11" s="93" t="s">
        <v>64</v>
      </c>
      <c r="H11" s="94">
        <f t="shared" si="0"/>
        <v>-77.81</v>
      </c>
      <c r="I11" s="95">
        <v>0.03</v>
      </c>
    </row>
    <row r="12" spans="2:9" ht="18" customHeight="1" x14ac:dyDescent="0.35">
      <c r="B12" s="84" t="s">
        <v>60</v>
      </c>
      <c r="C12" s="96">
        <v>0</v>
      </c>
      <c r="D12" s="95" t="s">
        <v>61</v>
      </c>
      <c r="F12" s="92"/>
      <c r="G12" s="93" t="s">
        <v>67</v>
      </c>
      <c r="H12" s="94">
        <f t="shared" si="0"/>
        <v>-99.86</v>
      </c>
      <c r="I12" s="97">
        <v>3.85E-2</v>
      </c>
    </row>
    <row r="13" spans="2:9" ht="18" customHeight="1" x14ac:dyDescent="0.35">
      <c r="B13" s="84" t="s">
        <v>63</v>
      </c>
      <c r="C13" s="96">
        <v>0</v>
      </c>
      <c r="D13" s="95" t="s">
        <v>61</v>
      </c>
      <c r="F13" s="92"/>
      <c r="G13" s="93" t="s">
        <v>68</v>
      </c>
      <c r="H13" s="94">
        <f>ROUND(-$C$7*I13,2)</f>
        <v>-38.909999999999997</v>
      </c>
      <c r="I13" s="97">
        <v>1.4999999999999999E-2</v>
      </c>
    </row>
    <row r="14" spans="2:9" ht="18" customHeight="1" x14ac:dyDescent="0.35">
      <c r="B14" s="84" t="s">
        <v>65</v>
      </c>
      <c r="C14" s="96">
        <v>0</v>
      </c>
      <c r="D14" s="95" t="s">
        <v>66</v>
      </c>
      <c r="F14" s="92"/>
      <c r="G14" s="93" t="s">
        <v>93</v>
      </c>
      <c r="H14" s="85">
        <v>-50</v>
      </c>
      <c r="I14" s="97" t="s">
        <v>88</v>
      </c>
    </row>
    <row r="15" spans="2:9" ht="18" customHeight="1" x14ac:dyDescent="0.35">
      <c r="B15" s="84" t="s">
        <v>100</v>
      </c>
      <c r="C15" s="96">
        <v>0</v>
      </c>
      <c r="D15" s="95" t="s">
        <v>66</v>
      </c>
      <c r="F15" s="101"/>
      <c r="G15" s="88" t="s">
        <v>91</v>
      </c>
      <c r="H15" s="89"/>
      <c r="I15" s="102"/>
    </row>
    <row r="16" spans="2:9" ht="18" customHeight="1" x14ac:dyDescent="0.35">
      <c r="B16" s="98">
        <f>SUM(C7:C15)-C9</f>
        <v>2077.9199999999996</v>
      </c>
      <c r="C16" s="99"/>
      <c r="D16" s="100" t="s">
        <v>101</v>
      </c>
      <c r="F16" s="92"/>
      <c r="G16" s="93" t="s">
        <v>59</v>
      </c>
      <c r="H16" s="94">
        <f t="shared" ref="H16:H19" si="1">ROUND(-$C$7*I16,2)</f>
        <v>-19.45</v>
      </c>
      <c r="I16" s="95">
        <v>7.4999999999999997E-3</v>
      </c>
    </row>
    <row r="17" spans="2:9" ht="18" customHeight="1" x14ac:dyDescent="0.35">
      <c r="B17" s="84" t="s">
        <v>69</v>
      </c>
      <c r="C17" s="96">
        <f ca="1">-FED!B12</f>
        <v>-215.0625</v>
      </c>
      <c r="D17" s="100" t="s">
        <v>70</v>
      </c>
      <c r="F17" s="92"/>
      <c r="G17" s="93" t="s">
        <v>62</v>
      </c>
      <c r="H17" s="94">
        <f t="shared" si="1"/>
        <v>-58.36</v>
      </c>
      <c r="I17" s="95">
        <v>2.2499999999999999E-2</v>
      </c>
    </row>
    <row r="18" spans="2:9" ht="18" customHeight="1" x14ac:dyDescent="0.35">
      <c r="B18" s="84" t="s">
        <v>71</v>
      </c>
      <c r="C18" s="94">
        <f>TRUNC(-($C$7+C8+C12+C13+C14+C15)*D18,2)</f>
        <v>-36.43</v>
      </c>
      <c r="D18" s="95">
        <v>1.4500000000000001E-2</v>
      </c>
      <c r="F18" s="92">
        <v>1</v>
      </c>
      <c r="G18" s="93" t="s">
        <v>64</v>
      </c>
      <c r="H18" s="94">
        <f t="shared" si="1"/>
        <v>-64.84</v>
      </c>
      <c r="I18" s="95">
        <v>2.5000000000000001E-2</v>
      </c>
    </row>
    <row r="19" spans="2:9" ht="18" customHeight="1" x14ac:dyDescent="0.35">
      <c r="B19" s="84" t="s">
        <v>72</v>
      </c>
      <c r="C19" s="94">
        <f>TRUNC(-($C$7+C8+C12+C13+C14+C15)*D19,2)</f>
        <v>-155.77000000000001</v>
      </c>
      <c r="D19" s="97">
        <v>6.2E-2</v>
      </c>
      <c r="F19" s="92"/>
      <c r="G19" s="93" t="s">
        <v>67</v>
      </c>
      <c r="H19" s="94">
        <f t="shared" si="1"/>
        <v>-93.38</v>
      </c>
      <c r="I19" s="97">
        <v>3.5999999999999997E-2</v>
      </c>
    </row>
    <row r="20" spans="2:9" ht="18" customHeight="1" x14ac:dyDescent="0.35">
      <c r="B20" s="84" t="s">
        <v>73</v>
      </c>
      <c r="C20" s="94">
        <f>ROUND(-($C$7+C8+C12+C14)*D20,2)</f>
        <v>-77.13</v>
      </c>
      <c r="D20" s="95">
        <v>3.0700000000000002E-2</v>
      </c>
      <c r="F20" s="92"/>
      <c r="G20" s="93" t="s">
        <v>68</v>
      </c>
      <c r="H20" s="94">
        <f>ROUND(-$C$7*I20,2)</f>
        <v>-32.42</v>
      </c>
      <c r="I20" s="97">
        <v>1.2500000000000001E-2</v>
      </c>
    </row>
    <row r="21" spans="2:9" ht="18" customHeight="1" x14ac:dyDescent="0.35">
      <c r="B21" s="84" t="s">
        <v>74</v>
      </c>
      <c r="C21" s="94">
        <f>ROUND(-($C$7+C14)*D21,2)</f>
        <v>-1.56</v>
      </c>
      <c r="D21" s="95">
        <v>5.9999999999999995E-4</v>
      </c>
      <c r="F21" s="92"/>
      <c r="G21" s="88" t="s">
        <v>94</v>
      </c>
      <c r="H21" s="89"/>
      <c r="I21" s="102"/>
    </row>
    <row r="22" spans="2:9" ht="18" customHeight="1" x14ac:dyDescent="0.35">
      <c r="B22" s="84" t="s">
        <v>75</v>
      </c>
      <c r="C22" s="85">
        <f>IF(C4=24,-2.17,IF(C4=26,-2,IF(C4=16,-3.25)))</f>
        <v>-2.17</v>
      </c>
      <c r="D22" s="103"/>
      <c r="F22" s="104"/>
      <c r="G22" s="93" t="s">
        <v>93</v>
      </c>
      <c r="H22" s="85">
        <v>-50</v>
      </c>
      <c r="I22" s="97" t="s">
        <v>88</v>
      </c>
    </row>
    <row r="23" spans="2:9" ht="18" customHeight="1" x14ac:dyDescent="0.35">
      <c r="B23" s="84" t="s">
        <v>76</v>
      </c>
      <c r="C23" s="94">
        <f>ROUND(-($C$7+C8+C12+C14)*D23,2)</f>
        <v>-40.200000000000003</v>
      </c>
      <c r="D23" s="91">
        <v>1.6E-2</v>
      </c>
      <c r="F23" s="105"/>
      <c r="G23" s="116" t="s">
        <v>96</v>
      </c>
      <c r="H23" s="117"/>
      <c r="I23" s="118"/>
    </row>
    <row r="24" spans="2:9" ht="18" customHeight="1" x14ac:dyDescent="0.35">
      <c r="B24" s="84" t="s">
        <v>78</v>
      </c>
      <c r="C24" s="85">
        <f>+C7*D24</f>
        <v>0</v>
      </c>
      <c r="D24" s="91">
        <v>0</v>
      </c>
      <c r="F24" s="92"/>
      <c r="G24" s="93" t="s">
        <v>77</v>
      </c>
      <c r="H24" s="94">
        <f t="shared" si="0"/>
        <v>0</v>
      </c>
      <c r="I24" s="95">
        <v>0</v>
      </c>
    </row>
    <row r="25" spans="2:9" ht="18" customHeight="1" x14ac:dyDescent="0.35">
      <c r="B25" s="84" t="s">
        <v>80</v>
      </c>
      <c r="C25" s="106">
        <v>0</v>
      </c>
      <c r="D25" s="103" t="s">
        <v>61</v>
      </c>
      <c r="F25" s="92"/>
      <c r="G25" s="93" t="s">
        <v>79</v>
      </c>
      <c r="H25" s="94">
        <f t="shared" si="0"/>
        <v>-10.38</v>
      </c>
      <c r="I25" s="95">
        <v>4.0000000000000001E-3</v>
      </c>
    </row>
    <row r="26" spans="2:9" ht="18" customHeight="1" x14ac:dyDescent="0.35">
      <c r="B26" s="84" t="s">
        <v>82</v>
      </c>
      <c r="C26" s="106">
        <v>0</v>
      </c>
      <c r="D26" s="103" t="s">
        <v>61</v>
      </c>
      <c r="F26" s="92">
        <v>1</v>
      </c>
      <c r="G26" s="93" t="s">
        <v>81</v>
      </c>
      <c r="H26" s="94">
        <f t="shared" si="0"/>
        <v>-10.38</v>
      </c>
      <c r="I26" s="95">
        <v>4.0000000000000001E-3</v>
      </c>
    </row>
    <row r="27" spans="2:9" ht="18" customHeight="1" x14ac:dyDescent="0.35">
      <c r="B27" s="84" t="s">
        <v>84</v>
      </c>
      <c r="C27" s="106">
        <v>0</v>
      </c>
      <c r="D27" s="107" t="s">
        <v>61</v>
      </c>
      <c r="F27" s="92"/>
      <c r="G27" s="93" t="s">
        <v>83</v>
      </c>
      <c r="H27" s="94">
        <f t="shared" si="0"/>
        <v>-14.27</v>
      </c>
      <c r="I27" s="97">
        <v>5.4999999999999997E-3</v>
      </c>
    </row>
    <row r="28" spans="2:9" ht="15.5" x14ac:dyDescent="0.35">
      <c r="B28" s="82" t="s">
        <v>86</v>
      </c>
      <c r="C28" s="79">
        <f ca="1">SUM(C7:C27)-C15</f>
        <v>1549.5974999999996</v>
      </c>
      <c r="F28" s="104"/>
      <c r="G28" s="108" t="s">
        <v>85</v>
      </c>
      <c r="H28" s="109">
        <f>ROUND(-$C$7*I28,2)</f>
        <v>-5.19</v>
      </c>
      <c r="I28" s="97">
        <v>2E-3</v>
      </c>
    </row>
    <row r="29" spans="2:9" ht="15.5" x14ac:dyDescent="0.35">
      <c r="D29" s="112"/>
      <c r="F29" s="105"/>
      <c r="G29" s="116" t="s">
        <v>95</v>
      </c>
      <c r="H29" s="117"/>
      <c r="I29" s="118"/>
    </row>
    <row r="30" spans="2:9" x14ac:dyDescent="0.35">
      <c r="B30" s="119"/>
      <c r="C30" s="115"/>
      <c r="D30" s="112"/>
      <c r="F30" s="92"/>
      <c r="G30" s="93" t="s">
        <v>87</v>
      </c>
      <c r="H30" s="94">
        <v>-3.17</v>
      </c>
      <c r="I30" s="97" t="s">
        <v>88</v>
      </c>
    </row>
    <row r="31" spans="2:9" x14ac:dyDescent="0.35">
      <c r="B31" s="114"/>
      <c r="F31" s="92">
        <v>1</v>
      </c>
      <c r="G31" s="93" t="s">
        <v>89</v>
      </c>
      <c r="H31" s="85">
        <v>-6.08</v>
      </c>
      <c r="I31" s="97" t="s">
        <v>88</v>
      </c>
    </row>
    <row r="32" spans="2:9" x14ac:dyDescent="0.35">
      <c r="B32" s="115"/>
      <c r="D32" s="112"/>
      <c r="F32" s="104"/>
      <c r="G32" s="108" t="s">
        <v>90</v>
      </c>
      <c r="H32" s="110">
        <v>-8.41</v>
      </c>
      <c r="I32" s="111" t="s">
        <v>88</v>
      </c>
    </row>
    <row r="33" spans="2:9" x14ac:dyDescent="0.35">
      <c r="C33" s="115"/>
      <c r="D33" s="112"/>
    </row>
    <row r="34" spans="2:9" ht="15.5" x14ac:dyDescent="0.35">
      <c r="B34" s="115"/>
      <c r="F34" s="81" t="s">
        <v>46</v>
      </c>
      <c r="G34" s="120" t="s">
        <v>94</v>
      </c>
      <c r="H34" s="83" t="s">
        <v>56</v>
      </c>
      <c r="I34" s="80" t="s">
        <v>54</v>
      </c>
    </row>
    <row r="35" spans="2:9" x14ac:dyDescent="0.35">
      <c r="D35" s="112"/>
      <c r="F35" s="104"/>
      <c r="G35" s="108" t="s">
        <v>93</v>
      </c>
      <c r="H35" s="110">
        <v>-50</v>
      </c>
      <c r="I35" s="111" t="s">
        <v>88</v>
      </c>
    </row>
    <row r="36" spans="2:9" x14ac:dyDescent="0.35">
      <c r="C36" s="115"/>
      <c r="D36" s="112"/>
    </row>
    <row r="37" spans="2:9" x14ac:dyDescent="0.35">
      <c r="C37" s="115"/>
      <c r="D37" s="112"/>
    </row>
  </sheetData>
  <sheetProtection sheet="1" objects="1" scenarios="1" selectLockedCell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FED</vt:lpstr>
      <vt:lpstr>tables</vt:lpstr>
      <vt:lpstr>netpay</vt:lpstr>
      <vt:lpstr>hn</vt:lpstr>
      <vt:lpstr>hy</vt:lpstr>
      <vt:lpstr>mn</vt:lpstr>
      <vt:lpstr>my</vt:lpstr>
      <vt:lpstr>sn</vt:lpstr>
      <vt:lpstr>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Compliance Research</dc:creator>
  <cp:lastModifiedBy>Davis, Staci</cp:lastModifiedBy>
  <cp:lastPrinted>2023-02-20T14:57:00Z</cp:lastPrinted>
  <dcterms:created xsi:type="dcterms:W3CDTF">1997-10-31T13:41:51Z</dcterms:created>
  <dcterms:modified xsi:type="dcterms:W3CDTF">2025-06-03T12:25:03Z</dcterms:modified>
</cp:coreProperties>
</file>